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G:\AAF\OSP\OSP Responsibilities - External\Proposal Submission\4.0_Budget_Development\Budget Tools\For Website\"/>
    </mc:Choice>
  </mc:AlternateContent>
  <xr:revisionPtr revIDLastSave="0" documentId="8_{91B8F88F-AE09-4D15-90F8-09FC2CCF9C8C}" xr6:coauthVersionLast="47" xr6:coauthVersionMax="47" xr10:uidLastSave="{00000000-0000-0000-0000-000000000000}"/>
  <workbookProtection workbookAlgorithmName="SHA-512" workbookHashValue="GHg8Lq9cZbyh27HKJgLdrbJhNFlHgt+sjROOY2Giop9HNmYoA0GhpsFQTvVyXmZ/WmrxWK7tGeOZoBXges/FMQ==" workbookSaltValue="aV36WPuc+ix053oE3mxxVg==" workbookSpinCount="100000" lockStructure="1"/>
  <bookViews>
    <workbookView xWindow="-120" yWindow="-120" windowWidth="25440" windowHeight="15390" tabRatio="929" firstSheet="1" activeTab="1" xr2:uid="{10EBF69F-CDF4-4325-BD3F-B84054EE4520}"/>
  </bookViews>
  <sheets>
    <sheet name="Change Log" sheetId="20" state="hidden" r:id="rId1"/>
    <sheet name="Instructions" sheetId="25" r:id="rId2"/>
    <sheet name="Instructions - Old" sheetId="21" state="hidden" r:id="rId3"/>
    <sheet name="Personnel Yr 1" sheetId="1" r:id="rId4"/>
    <sheet name="Personnel Yr 2" sheetId="9" r:id="rId5"/>
    <sheet name="Personnel Yr 3" sheetId="10" r:id="rId6"/>
    <sheet name="Personnel Yr 4" sheetId="11" r:id="rId7"/>
    <sheet name="Personnel Yr 5" sheetId="12" r:id="rId8"/>
    <sheet name="Non-personnel" sheetId="2" r:id="rId9"/>
    <sheet name="Summary" sheetId="8" state="hidden" r:id="rId10"/>
    <sheet name="File Copy" sheetId="13" r:id="rId11"/>
    <sheet name="File Copy - No Salary" sheetId="16" r:id="rId12"/>
    <sheet name="Drop Choices" sheetId="3" state="hidden" r:id="rId13"/>
    <sheet name="NIH Mod-Even Dist" sheetId="23" r:id="rId14"/>
    <sheet name="NIH Mod-Free" sheetId="22" r:id="rId15"/>
    <sheet name="OSA" sheetId="24" r:id="rId16"/>
    <sheet name="Justification" sheetId="17" r:id="rId17"/>
    <sheet name="424a" sheetId="18" r:id="rId18"/>
    <sheet name="ED524" sheetId="19" r:id="rId19"/>
  </sheets>
  <externalReferences>
    <externalReference r:id="rId20"/>
    <externalReference r:id="rId21"/>
  </externalReferences>
  <definedNames>
    <definedName name="Ben" localSheetId="1">'[1]Drop Choices'!$C$4:$C$6</definedName>
    <definedName name="Ben" localSheetId="2">'[1]Drop Choices'!$C$4:$C$6</definedName>
    <definedName name="Ben">'Drop Choices'!$C$5:$C$8</definedName>
    <definedName name="BenB" localSheetId="1">'[2]Drop Choices'!$E$5:$E$8</definedName>
    <definedName name="BenB">'Drop Choices'!$E$5:$E$8</definedName>
    <definedName name="Confirm2">'Drop Choices'!$F$2</definedName>
    <definedName name="Designation" localSheetId="1">'[2]Drop Choices'!$T$2:$T$6</definedName>
    <definedName name="Designation">'Drop Choices'!$T$2:$T$7</definedName>
    <definedName name="Duration" localSheetId="1">'[1]Drop Choices'!$M$2:$M$6</definedName>
    <definedName name="Duration" localSheetId="2">'[1]Drop Choices'!$M$2:$M$6</definedName>
    <definedName name="Duration">'Drop Choices'!$N$2:$N$6</definedName>
    <definedName name="Grad" localSheetId="1">'[1]Drop Choices'!$C$2:$C$3</definedName>
    <definedName name="Grad" localSheetId="2">'[1]Drop Choices'!$C$2:$C$3</definedName>
    <definedName name="Grad">'Drop Choices'!$C$2:$C$4</definedName>
    <definedName name="GradR" localSheetId="1">'[1]Drop Choices'!$D$2:$D$3</definedName>
    <definedName name="GradR" localSheetId="2">'[1]Drop Choices'!$D$2:$D$3</definedName>
    <definedName name="GradR">'Drop Choices'!$D$2:$D$4</definedName>
    <definedName name="IDCDesc" localSheetId="1">'[1]Drop Choices'!$G$2:$G$7</definedName>
    <definedName name="IDCDesc" localSheetId="2">'[1]Drop Choices'!$G$2:$G$7</definedName>
    <definedName name="IDCDesc">'Drop Choices'!$H$2:$H$7</definedName>
    <definedName name="IDCDesc2" localSheetId="1">'[1]Drop Choices'!$J$2:$J$7</definedName>
    <definedName name="IDCDesc2" localSheetId="2">'[1]Drop Choices'!$J$2:$J$7</definedName>
    <definedName name="IDCDesc2">'Drop Choices'!$K$2:$K$7</definedName>
    <definedName name="IDCList" localSheetId="1">'[2]Drop Choices'!$G$2:$G$7</definedName>
    <definedName name="IDCList">'Drop Choices'!$G$2:$G$7</definedName>
    <definedName name="IDCList2" localSheetId="1">'[1]Drop Choices'!$I$2:$I$7</definedName>
    <definedName name="IDCList2" localSheetId="2">'[1]Drop Choices'!$I$2:$I$7</definedName>
    <definedName name="IDCList2">'Drop Choices'!$J$2:$J$7</definedName>
    <definedName name="IDCRate" localSheetId="1">'[1]Drop Choices'!$H$2:$H$7</definedName>
    <definedName name="IDCRate" localSheetId="2">'[1]Drop Choices'!$H$2:$H$7</definedName>
    <definedName name="IDCRate">'Drop Choices'!$I$2:$I$7</definedName>
    <definedName name="IDCRate2" localSheetId="1">'[1]Drop Choices'!$K$2:$K$7</definedName>
    <definedName name="IDCRate2" localSheetId="2">'[1]Drop Choices'!$K$2:$K$7</definedName>
    <definedName name="IDCRate2">'Drop Choices'!$L$2:$L$7</definedName>
    <definedName name="IDCType" localSheetId="1">'[1]Drop Choices'!$B$2:$B$5</definedName>
    <definedName name="IDCType" localSheetId="2">'[1]Drop Choices'!$B$2:$B$5</definedName>
    <definedName name="IDCType">'Drop Choices'!$B$2:$B$5</definedName>
    <definedName name="NIHGradLimit" localSheetId="1">'[2]Drop Choices'!$R$2</definedName>
    <definedName name="NIHGradLimit">'Drop Choices'!$R$2</definedName>
    <definedName name="NIHSalaryCap" localSheetId="1">'[2]Drop Choices'!$Q$3</definedName>
    <definedName name="NIHSalaryCap">'Drop Choices'!$Q$3</definedName>
    <definedName name="OtherRoles" localSheetId="1">'[2]Drop Choices'!$S$2:$S$11</definedName>
    <definedName name="OtherRoles">'Drop Choices'!$S$2:$S$11</definedName>
    <definedName name="Per" localSheetId="1">'[1]Drop Choices'!$D$4:$D$6</definedName>
    <definedName name="Per" localSheetId="2">'[1]Drop Choices'!$D$4:$D$6</definedName>
    <definedName name="Per">'Drop Choices'!$D$5:$D$8</definedName>
    <definedName name="Prefix" localSheetId="1">'[1]Drop Choices'!$A$2:$A$7</definedName>
    <definedName name="Prefix" localSheetId="2">'[1]Drop Choices'!$A$2:$A$7</definedName>
    <definedName name="Prefix">'Drop Choices'!$A$2:$A$7</definedName>
    <definedName name="_xlnm.Print_Area" localSheetId="10">'File Copy'!$A$1:$I$205</definedName>
    <definedName name="_xlnm.Print_Area" localSheetId="11">'File Copy - No Salary'!$A$1:$I$175</definedName>
    <definedName name="_xlnm.Print_Area" localSheetId="1">Instructions!$A$1:$H$94</definedName>
    <definedName name="_xlnm.Print_Area" localSheetId="16">Justification!$A$1:$B$84</definedName>
    <definedName name="_xlnm.Print_Area" localSheetId="13">'NIH Mod-Even Dist'!$A$1:$I$19</definedName>
    <definedName name="_xlnm.Print_Area" localSheetId="14">'NIH Mod-Free'!$A$1:$I$19</definedName>
    <definedName name="_xlnm.Print_Area" localSheetId="8">'Non-personnel'!$A$1:$S$91</definedName>
    <definedName name="_xlnm.Print_Area" localSheetId="3">'Personnel Yr 1'!$A$1:$O$73</definedName>
    <definedName name="_xlnm.Print_Area" localSheetId="4">'Personnel Yr 2'!$A$1:$O$73</definedName>
    <definedName name="_xlnm.Print_Area" localSheetId="5">'Personnel Yr 3'!$A$1:$O$73</definedName>
    <definedName name="_xlnm.Print_Area" localSheetId="6">'Personnel Yr 4'!$A$1:$O$73</definedName>
    <definedName name="_xlnm.Print_Area" localSheetId="7">'Personnel Yr 5'!$A$1:$O$73</definedName>
    <definedName name="_xlnm.Print_Area" localSheetId="9">Summary!$A$1:$G$32</definedName>
    <definedName name="_xlnm.Print_Titles" localSheetId="10">'File Copy'!$1:$2</definedName>
    <definedName name="_xlnm.Print_Titles" localSheetId="8">'Non-personnel'!$1:$3</definedName>
    <definedName name="ReqSal" localSheetId="4">'Personnel Yr 2'!#REF!</definedName>
    <definedName name="ReqSal" localSheetId="5">'Personnel Yr 3'!#REF!</definedName>
    <definedName name="ReqSal" localSheetId="6">'Personnel Yr 4'!#REF!</definedName>
    <definedName name="ReqSal" localSheetId="7">'Personnel Yr 5'!#REF!</definedName>
    <definedName name="Roles" localSheetId="1">'[1]Drop Choices'!$L$2:$L$7</definedName>
    <definedName name="Roles" localSheetId="2">'[1]Drop Choices'!$L$2:$L$7</definedName>
    <definedName name="Roles">'Drop Choices'!$M$2:$M$5</definedName>
    <definedName name="TuitionDesc" localSheetId="1">'[1]Drop Choices'!$O$2:$O$5</definedName>
    <definedName name="TuitionDesc" localSheetId="2">'[1]Drop Choices'!$O$2:$O$5</definedName>
    <definedName name="TuitionDesc">'Drop Choices'!$P$2:$P$5</definedName>
    <definedName name="TuitionRate">'Drop Choices'!$O$2:$O$6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8" i="1" l="1"/>
  <c r="O69" i="1"/>
  <c r="O70" i="1"/>
  <c r="O71" i="1"/>
  <c r="O72" i="1"/>
  <c r="O53" i="1"/>
  <c r="O54" i="1"/>
  <c r="M54" i="9" l="1"/>
  <c r="M53" i="9"/>
  <c r="N53" i="1"/>
  <c r="N54" i="1"/>
  <c r="AA7" i="1"/>
  <c r="M43" i="1" l="1"/>
  <c r="N43" i="1" s="1"/>
  <c r="D122" i="13" s="1"/>
  <c r="N55" i="1"/>
  <c r="N56" i="1"/>
  <c r="O56" i="1" s="1"/>
  <c r="D386" i="13" s="1"/>
  <c r="N57" i="1"/>
  <c r="N58" i="1"/>
  <c r="O58" i="1" s="1"/>
  <c r="D390" i="13" s="1"/>
  <c r="N59" i="1"/>
  <c r="N60" i="1"/>
  <c r="N61" i="1"/>
  <c r="O61" i="1" s="1"/>
  <c r="D396" i="13" s="1"/>
  <c r="N62" i="1"/>
  <c r="O62" i="1" s="1"/>
  <c r="D398" i="13" s="1"/>
  <c r="N63" i="1"/>
  <c r="N64" i="1"/>
  <c r="N65" i="1"/>
  <c r="N66" i="1"/>
  <c r="N67" i="1"/>
  <c r="N68" i="1"/>
  <c r="N69" i="1"/>
  <c r="N70" i="1"/>
  <c r="N71" i="1"/>
  <c r="N72" i="1"/>
  <c r="A271" i="13"/>
  <c r="A32" i="17"/>
  <c r="A33" i="17"/>
  <c r="A31" i="17"/>
  <c r="B32" i="17"/>
  <c r="B33" i="17"/>
  <c r="A40" i="17"/>
  <c r="A39" i="17"/>
  <c r="A38" i="17"/>
  <c r="A37" i="17"/>
  <c r="A36" i="17"/>
  <c r="A35" i="17"/>
  <c r="A34" i="17"/>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D418" i="13"/>
  <c r="D416" i="13"/>
  <c r="D414" i="13"/>
  <c r="D412" i="13"/>
  <c r="D410" i="13"/>
  <c r="D274" i="13"/>
  <c r="D275" i="13" s="1"/>
  <c r="D276" i="13"/>
  <c r="D277" i="13" s="1"/>
  <c r="D281" i="13"/>
  <c r="D282" i="13" s="1"/>
  <c r="D283" i="13"/>
  <c r="J40" i="12"/>
  <c r="K40" i="12"/>
  <c r="L40" i="12"/>
  <c r="J41" i="12"/>
  <c r="K41" i="12"/>
  <c r="L41" i="12"/>
  <c r="J47" i="12"/>
  <c r="K47" i="12"/>
  <c r="L47" i="12"/>
  <c r="J48" i="12"/>
  <c r="K48" i="12"/>
  <c r="L48" i="12"/>
  <c r="K83" i="12"/>
  <c r="L83" i="12"/>
  <c r="M83" i="12"/>
  <c r="H21" i="9"/>
  <c r="H21" i="10" s="1"/>
  <c r="H21" i="11" s="1"/>
  <c r="H21" i="12" s="1"/>
  <c r="H22" i="9"/>
  <c r="H22" i="10" s="1"/>
  <c r="H22" i="11" s="1"/>
  <c r="H22" i="12" s="1"/>
  <c r="H23" i="9"/>
  <c r="H23" i="10" s="1"/>
  <c r="H23" i="11" s="1"/>
  <c r="H23" i="12" s="1"/>
  <c r="H24" i="9"/>
  <c r="H24" i="10" s="1"/>
  <c r="H24" i="11" s="1"/>
  <c r="H24" i="12" s="1"/>
  <c r="H25" i="9"/>
  <c r="H25" i="10" s="1"/>
  <c r="H25" i="11" s="1"/>
  <c r="H25" i="12" s="1"/>
  <c r="H26" i="9"/>
  <c r="H26" i="10" s="1"/>
  <c r="H26" i="11" s="1"/>
  <c r="H26" i="12" s="1"/>
  <c r="H27" i="9"/>
  <c r="H27" i="10" s="1"/>
  <c r="H27" i="11" s="1"/>
  <c r="H27" i="12" s="1"/>
  <c r="H28" i="9"/>
  <c r="H28" i="10" s="1"/>
  <c r="H28" i="11" s="1"/>
  <c r="H28" i="12" s="1"/>
  <c r="H29" i="9"/>
  <c r="H29" i="10" s="1"/>
  <c r="H29" i="11" s="1"/>
  <c r="H29" i="12" s="1"/>
  <c r="H30" i="9"/>
  <c r="H30" i="10" s="1"/>
  <c r="H30" i="11" s="1"/>
  <c r="H30" i="12" s="1"/>
  <c r="H31" i="9"/>
  <c r="H31" i="10" s="1"/>
  <c r="H31" i="11" s="1"/>
  <c r="H31" i="12" s="1"/>
  <c r="H32" i="9"/>
  <c r="H32" i="10" s="1"/>
  <c r="H32" i="11" s="1"/>
  <c r="H32" i="12" s="1"/>
  <c r="H33" i="9"/>
  <c r="H33" i="10" s="1"/>
  <c r="H33" i="11" s="1"/>
  <c r="H33" i="12" s="1"/>
  <c r="H34" i="9"/>
  <c r="H34" i="10" s="1"/>
  <c r="H34" i="11" s="1"/>
  <c r="H34" i="12" s="1"/>
  <c r="H20" i="9"/>
  <c r="H20" i="10" s="1"/>
  <c r="H20" i="11" s="1"/>
  <c r="H20" i="12" s="1"/>
  <c r="H8" i="9"/>
  <c r="H8" i="10" s="1"/>
  <c r="H9" i="9"/>
  <c r="H9" i="10" s="1"/>
  <c r="H10" i="9"/>
  <c r="H10" i="10" s="1"/>
  <c r="H11" i="9"/>
  <c r="H11" i="10" s="1"/>
  <c r="H11" i="11" s="1"/>
  <c r="H11" i="12" s="1"/>
  <c r="H12" i="9"/>
  <c r="H12" i="10" s="1"/>
  <c r="H12" i="11" s="1"/>
  <c r="H12" i="12" s="1"/>
  <c r="H13" i="9"/>
  <c r="H13" i="10" s="1"/>
  <c r="H13" i="11" s="1"/>
  <c r="H13" i="12" s="1"/>
  <c r="H14" i="9"/>
  <c r="H14" i="10" s="1"/>
  <c r="H14" i="11" s="1"/>
  <c r="H14" i="12" s="1"/>
  <c r="H7" i="9"/>
  <c r="G7" i="9"/>
  <c r="I43" i="9"/>
  <c r="I43" i="10" s="1"/>
  <c r="I43" i="11" s="1"/>
  <c r="I43" i="12" s="1"/>
  <c r="L46" i="11"/>
  <c r="L46" i="12" s="1"/>
  <c r="K46" i="11"/>
  <c r="K46" i="12" s="1"/>
  <c r="J46" i="11"/>
  <c r="J46" i="12" s="1"/>
  <c r="L45" i="11"/>
  <c r="L45" i="12" s="1"/>
  <c r="K45" i="11"/>
  <c r="K45" i="12" s="1"/>
  <c r="J45" i="11"/>
  <c r="J45" i="12" s="1"/>
  <c r="L44" i="11"/>
  <c r="L44" i="12" s="1"/>
  <c r="K44" i="11"/>
  <c r="K44" i="12" s="1"/>
  <c r="J44" i="11"/>
  <c r="J44" i="12" s="1"/>
  <c r="L43" i="11"/>
  <c r="L43" i="12" s="1"/>
  <c r="K43" i="11"/>
  <c r="K43" i="12" s="1"/>
  <c r="J43" i="11"/>
  <c r="J43" i="12" s="1"/>
  <c r="L42" i="11"/>
  <c r="L42" i="12" s="1"/>
  <c r="K42" i="11"/>
  <c r="K42" i="12" s="1"/>
  <c r="J42" i="11"/>
  <c r="J42" i="12" s="1"/>
  <c r="L39" i="11"/>
  <c r="L39" i="12" s="1"/>
  <c r="K39" i="11"/>
  <c r="K39" i="12" s="1"/>
  <c r="J39" i="11"/>
  <c r="J39" i="12" s="1"/>
  <c r="M55" i="9"/>
  <c r="N55" i="9" s="1"/>
  <c r="M56" i="9"/>
  <c r="M56" i="10" s="1"/>
  <c r="M56" i="11" s="1"/>
  <c r="M57" i="9"/>
  <c r="M57" i="10" s="1"/>
  <c r="M57" i="11" s="1"/>
  <c r="M57" i="12" s="1"/>
  <c r="M58" i="9"/>
  <c r="M59" i="9"/>
  <c r="M60" i="9"/>
  <c r="M60" i="10" s="1"/>
  <c r="M60" i="11" s="1"/>
  <c r="M60" i="12" s="1"/>
  <c r="M61" i="9"/>
  <c r="M62" i="9"/>
  <c r="M63" i="9"/>
  <c r="M63" i="10" s="1"/>
  <c r="O63" i="10" s="1"/>
  <c r="F400" i="13" s="1"/>
  <c r="M64" i="9"/>
  <c r="O64" i="9" s="1"/>
  <c r="E402" i="13" s="1"/>
  <c r="M65" i="9"/>
  <c r="O65" i="9" s="1"/>
  <c r="E404" i="13" s="1"/>
  <c r="M66" i="9"/>
  <c r="M66" i="10" s="1"/>
  <c r="O66" i="10" s="1"/>
  <c r="F406" i="13" s="1"/>
  <c r="M67" i="9"/>
  <c r="N67" i="9" s="1"/>
  <c r="M68" i="9"/>
  <c r="N68" i="9" s="1"/>
  <c r="M69" i="9"/>
  <c r="N69" i="9" s="1"/>
  <c r="M70" i="9"/>
  <c r="N70" i="9" s="1"/>
  <c r="M71" i="9"/>
  <c r="O71" i="9" s="1"/>
  <c r="E416" i="13" s="1"/>
  <c r="M72" i="9"/>
  <c r="O72" i="9" s="1"/>
  <c r="E418" i="13" s="1"/>
  <c r="M53" i="10"/>
  <c r="M53" i="11" s="1"/>
  <c r="M53" i="12" s="1"/>
  <c r="L46" i="10"/>
  <c r="K46" i="10"/>
  <c r="J46" i="10"/>
  <c r="L45" i="10"/>
  <c r="K45" i="10"/>
  <c r="J45" i="10"/>
  <c r="L44" i="10"/>
  <c r="K44" i="10"/>
  <c r="J44" i="10"/>
  <c r="L43" i="10"/>
  <c r="K43" i="10"/>
  <c r="J43" i="10"/>
  <c r="L42" i="10"/>
  <c r="K42" i="10"/>
  <c r="J42" i="10"/>
  <c r="L39" i="10"/>
  <c r="K39" i="10"/>
  <c r="J39" i="10"/>
  <c r="B40" i="9"/>
  <c r="B40" i="10" s="1"/>
  <c r="B40" i="11" s="1"/>
  <c r="B40" i="12" s="1"/>
  <c r="B41" i="9"/>
  <c r="B41" i="10" s="1"/>
  <c r="B41" i="11" s="1"/>
  <c r="B41" i="12" s="1"/>
  <c r="B42" i="9"/>
  <c r="B42" i="10" s="1"/>
  <c r="B42" i="11" s="1"/>
  <c r="B42" i="12" s="1"/>
  <c r="B43" i="9"/>
  <c r="B43" i="10" s="1"/>
  <c r="B43" i="11" s="1"/>
  <c r="B43" i="12" s="1"/>
  <c r="B44" i="9"/>
  <c r="B44" i="10" s="1"/>
  <c r="B44" i="11" s="1"/>
  <c r="B44" i="12" s="1"/>
  <c r="B45" i="9"/>
  <c r="B45" i="10" s="1"/>
  <c r="B45" i="11" s="1"/>
  <c r="B45" i="12" s="1"/>
  <c r="B46" i="9"/>
  <c r="B46" i="10" s="1"/>
  <c r="B46" i="11" s="1"/>
  <c r="B46" i="12" s="1"/>
  <c r="B47" i="9"/>
  <c r="B47" i="10" s="1"/>
  <c r="B47" i="11" s="1"/>
  <c r="B47" i="12" s="1"/>
  <c r="B48" i="9"/>
  <c r="B48" i="10" s="1"/>
  <c r="B48" i="11" s="1"/>
  <c r="B48" i="12" s="1"/>
  <c r="J54" i="9"/>
  <c r="J54" i="10" s="1"/>
  <c r="J54" i="11" s="1"/>
  <c r="J54" i="12" s="1"/>
  <c r="K54" i="9"/>
  <c r="K54" i="10" s="1"/>
  <c r="K54" i="11" s="1"/>
  <c r="K54" i="12" s="1"/>
  <c r="L54" i="9"/>
  <c r="L54" i="10" s="1"/>
  <c r="L54" i="11" s="1"/>
  <c r="L54" i="12" s="1"/>
  <c r="J55" i="9"/>
  <c r="J55" i="10" s="1"/>
  <c r="J55" i="11" s="1"/>
  <c r="J55" i="12" s="1"/>
  <c r="K55" i="9"/>
  <c r="K55" i="10" s="1"/>
  <c r="K55" i="11" s="1"/>
  <c r="K55" i="12" s="1"/>
  <c r="L55" i="9"/>
  <c r="L55" i="10" s="1"/>
  <c r="L55" i="11" s="1"/>
  <c r="L55" i="12" s="1"/>
  <c r="J56" i="9"/>
  <c r="J56" i="10" s="1"/>
  <c r="J56" i="11" s="1"/>
  <c r="J56" i="12" s="1"/>
  <c r="K56" i="9"/>
  <c r="K56" i="10" s="1"/>
  <c r="K56" i="11" s="1"/>
  <c r="K56" i="12" s="1"/>
  <c r="L56" i="9"/>
  <c r="L56" i="10" s="1"/>
  <c r="L56" i="11" s="1"/>
  <c r="L56" i="12" s="1"/>
  <c r="J57" i="9"/>
  <c r="J57" i="10" s="1"/>
  <c r="J57" i="11" s="1"/>
  <c r="J57" i="12" s="1"/>
  <c r="K57" i="9"/>
  <c r="K57" i="10" s="1"/>
  <c r="K57" i="11" s="1"/>
  <c r="K57" i="12" s="1"/>
  <c r="L57" i="9"/>
  <c r="L57" i="10" s="1"/>
  <c r="L57" i="11" s="1"/>
  <c r="L57" i="12" s="1"/>
  <c r="J58" i="9"/>
  <c r="J58" i="10" s="1"/>
  <c r="J58" i="11" s="1"/>
  <c r="J58" i="12" s="1"/>
  <c r="K58" i="9"/>
  <c r="K58" i="10" s="1"/>
  <c r="K58" i="11" s="1"/>
  <c r="K58" i="12" s="1"/>
  <c r="L58" i="9"/>
  <c r="L58" i="10" s="1"/>
  <c r="L58" i="11" s="1"/>
  <c r="L58" i="12" s="1"/>
  <c r="J59" i="9"/>
  <c r="J59" i="10" s="1"/>
  <c r="J59" i="11" s="1"/>
  <c r="J59" i="12" s="1"/>
  <c r="K59" i="9"/>
  <c r="K59" i="10" s="1"/>
  <c r="K59" i="11" s="1"/>
  <c r="K59" i="12" s="1"/>
  <c r="L59" i="9"/>
  <c r="L59" i="10" s="1"/>
  <c r="L59" i="11" s="1"/>
  <c r="L59" i="12" s="1"/>
  <c r="J60" i="9"/>
  <c r="J60" i="10" s="1"/>
  <c r="J60" i="11" s="1"/>
  <c r="J60" i="12" s="1"/>
  <c r="K60" i="9"/>
  <c r="K60" i="10" s="1"/>
  <c r="K60" i="11" s="1"/>
  <c r="K60" i="12" s="1"/>
  <c r="L60" i="9"/>
  <c r="L60" i="10" s="1"/>
  <c r="L60" i="11" s="1"/>
  <c r="L60" i="12" s="1"/>
  <c r="J61" i="9"/>
  <c r="J61" i="10" s="1"/>
  <c r="J61" i="11" s="1"/>
  <c r="J61" i="12" s="1"/>
  <c r="K61" i="9"/>
  <c r="K61" i="10" s="1"/>
  <c r="K61" i="11" s="1"/>
  <c r="K61" i="12" s="1"/>
  <c r="L61" i="9"/>
  <c r="L61" i="10" s="1"/>
  <c r="L61" i="11" s="1"/>
  <c r="L61" i="12" s="1"/>
  <c r="J62" i="9"/>
  <c r="J62" i="10" s="1"/>
  <c r="J62" i="11" s="1"/>
  <c r="J62" i="12" s="1"/>
  <c r="K62" i="9"/>
  <c r="K62" i="10" s="1"/>
  <c r="K62" i="11" s="1"/>
  <c r="K62" i="12" s="1"/>
  <c r="L62" i="9"/>
  <c r="L62" i="10" s="1"/>
  <c r="L62" i="11" s="1"/>
  <c r="L62" i="12" s="1"/>
  <c r="J63" i="9"/>
  <c r="J63" i="10" s="1"/>
  <c r="J63" i="11" s="1"/>
  <c r="J63" i="12" s="1"/>
  <c r="K63" i="9"/>
  <c r="K63" i="10" s="1"/>
  <c r="K63" i="11" s="1"/>
  <c r="K63" i="12" s="1"/>
  <c r="L63" i="9"/>
  <c r="L63" i="10" s="1"/>
  <c r="L63" i="11" s="1"/>
  <c r="L63" i="12" s="1"/>
  <c r="J64" i="9"/>
  <c r="J64" i="10" s="1"/>
  <c r="J64" i="11" s="1"/>
  <c r="J64" i="12" s="1"/>
  <c r="K64" i="9"/>
  <c r="K64" i="10" s="1"/>
  <c r="K64" i="11" s="1"/>
  <c r="K64" i="12" s="1"/>
  <c r="L64" i="9"/>
  <c r="L64" i="10" s="1"/>
  <c r="L64" i="11" s="1"/>
  <c r="L64" i="12" s="1"/>
  <c r="J65" i="9"/>
  <c r="J65" i="10" s="1"/>
  <c r="J65" i="11" s="1"/>
  <c r="J65" i="12" s="1"/>
  <c r="K65" i="9"/>
  <c r="K65" i="10" s="1"/>
  <c r="K65" i="11" s="1"/>
  <c r="K65" i="12" s="1"/>
  <c r="L65" i="9"/>
  <c r="L65" i="10" s="1"/>
  <c r="L65" i="11" s="1"/>
  <c r="L65" i="12" s="1"/>
  <c r="J66" i="9"/>
  <c r="J66" i="10" s="1"/>
  <c r="J66" i="11" s="1"/>
  <c r="J66" i="12" s="1"/>
  <c r="K66" i="9"/>
  <c r="K66" i="10" s="1"/>
  <c r="K66" i="11" s="1"/>
  <c r="K66" i="12" s="1"/>
  <c r="L66" i="9"/>
  <c r="L66" i="10" s="1"/>
  <c r="L66" i="11" s="1"/>
  <c r="L66" i="12" s="1"/>
  <c r="J67" i="9"/>
  <c r="J67" i="10" s="1"/>
  <c r="J67" i="11" s="1"/>
  <c r="J67" i="12" s="1"/>
  <c r="K67" i="9"/>
  <c r="K67" i="10" s="1"/>
  <c r="K67" i="11" s="1"/>
  <c r="K67" i="12" s="1"/>
  <c r="L67" i="9"/>
  <c r="L67" i="10" s="1"/>
  <c r="L67" i="11" s="1"/>
  <c r="L67" i="12" s="1"/>
  <c r="J68" i="9"/>
  <c r="J68" i="10" s="1"/>
  <c r="J68" i="11" s="1"/>
  <c r="J68" i="12" s="1"/>
  <c r="K68" i="9"/>
  <c r="K68" i="10" s="1"/>
  <c r="K68" i="11" s="1"/>
  <c r="K68" i="12" s="1"/>
  <c r="L68" i="9"/>
  <c r="L68" i="10" s="1"/>
  <c r="L68" i="11" s="1"/>
  <c r="L68" i="12" s="1"/>
  <c r="J69" i="9"/>
  <c r="J69" i="10" s="1"/>
  <c r="J69" i="11" s="1"/>
  <c r="J69" i="12" s="1"/>
  <c r="K69" i="9"/>
  <c r="K69" i="10" s="1"/>
  <c r="K69" i="11" s="1"/>
  <c r="K69" i="12" s="1"/>
  <c r="L69" i="9"/>
  <c r="L69" i="10" s="1"/>
  <c r="L69" i="11" s="1"/>
  <c r="L69" i="12" s="1"/>
  <c r="J70" i="9"/>
  <c r="J70" i="10" s="1"/>
  <c r="J70" i="11" s="1"/>
  <c r="J70" i="12" s="1"/>
  <c r="K70" i="9"/>
  <c r="K70" i="10" s="1"/>
  <c r="K70" i="11" s="1"/>
  <c r="K70" i="12" s="1"/>
  <c r="L70" i="9"/>
  <c r="L70" i="10" s="1"/>
  <c r="L70" i="11" s="1"/>
  <c r="L70" i="12" s="1"/>
  <c r="J71" i="9"/>
  <c r="J71" i="10" s="1"/>
  <c r="J71" i="11" s="1"/>
  <c r="J71" i="12" s="1"/>
  <c r="K71" i="9"/>
  <c r="K71" i="10" s="1"/>
  <c r="K71" i="11" s="1"/>
  <c r="K71" i="12" s="1"/>
  <c r="L71" i="9"/>
  <c r="L71" i="10" s="1"/>
  <c r="L71" i="11" s="1"/>
  <c r="L71" i="12" s="1"/>
  <c r="J72" i="9"/>
  <c r="J72" i="10" s="1"/>
  <c r="J72" i="11" s="1"/>
  <c r="J72" i="12" s="1"/>
  <c r="K72" i="9"/>
  <c r="K72" i="10" s="1"/>
  <c r="K72" i="11" s="1"/>
  <c r="K72" i="12" s="1"/>
  <c r="L72" i="9"/>
  <c r="L72" i="10" s="1"/>
  <c r="L72" i="11" s="1"/>
  <c r="L72" i="12" s="1"/>
  <c r="L53" i="9"/>
  <c r="L53" i="10" s="1"/>
  <c r="L53" i="11" s="1"/>
  <c r="L53" i="12" s="1"/>
  <c r="K53" i="9"/>
  <c r="K53" i="10" s="1"/>
  <c r="K53" i="11" s="1"/>
  <c r="K53" i="12" s="1"/>
  <c r="J53" i="9"/>
  <c r="J53" i="10" s="1"/>
  <c r="J53" i="11" s="1"/>
  <c r="B54" i="9"/>
  <c r="B54" i="10" s="1"/>
  <c r="B54" i="11" s="1"/>
  <c r="B54" i="12" s="1"/>
  <c r="C54" i="9"/>
  <c r="C54" i="10" s="1"/>
  <c r="C54" i="11" s="1"/>
  <c r="C54" i="12" s="1"/>
  <c r="D54" i="9"/>
  <c r="D54" i="10" s="1"/>
  <c r="D54" i="11" s="1"/>
  <c r="D54" i="12" s="1"/>
  <c r="E54" i="9"/>
  <c r="E54" i="10" s="1"/>
  <c r="E54" i="11" s="1"/>
  <c r="E54" i="12" s="1"/>
  <c r="F54" i="9"/>
  <c r="F54" i="10" s="1"/>
  <c r="F54" i="11" s="1"/>
  <c r="F54" i="12" s="1"/>
  <c r="B55" i="9"/>
  <c r="B55" i="10" s="1"/>
  <c r="B55" i="11" s="1"/>
  <c r="B55" i="12" s="1"/>
  <c r="C55" i="9"/>
  <c r="C55" i="10" s="1"/>
  <c r="C55" i="11" s="1"/>
  <c r="C55" i="12" s="1"/>
  <c r="D55" i="9"/>
  <c r="D55" i="10" s="1"/>
  <c r="D55" i="11" s="1"/>
  <c r="D55" i="12" s="1"/>
  <c r="E55" i="9"/>
  <c r="E55" i="10" s="1"/>
  <c r="E55" i="11" s="1"/>
  <c r="E55" i="12" s="1"/>
  <c r="F55" i="9"/>
  <c r="F55" i="10" s="1"/>
  <c r="F55" i="11" s="1"/>
  <c r="F55" i="12" s="1"/>
  <c r="B56" i="9"/>
  <c r="B56" i="10" s="1"/>
  <c r="B56" i="11" s="1"/>
  <c r="B56" i="12" s="1"/>
  <c r="C56" i="9"/>
  <c r="C56" i="10" s="1"/>
  <c r="C56" i="11" s="1"/>
  <c r="C56" i="12" s="1"/>
  <c r="D56" i="9"/>
  <c r="D56" i="10" s="1"/>
  <c r="D56" i="11" s="1"/>
  <c r="D56" i="12" s="1"/>
  <c r="E56" i="9"/>
  <c r="E56" i="10" s="1"/>
  <c r="E56" i="11" s="1"/>
  <c r="E56" i="12" s="1"/>
  <c r="F56" i="9"/>
  <c r="F56" i="10" s="1"/>
  <c r="F56" i="11" s="1"/>
  <c r="F56" i="12" s="1"/>
  <c r="B57" i="9"/>
  <c r="B57" i="10" s="1"/>
  <c r="B57" i="11" s="1"/>
  <c r="B57" i="12" s="1"/>
  <c r="C57" i="9"/>
  <c r="C57" i="10" s="1"/>
  <c r="C57" i="11" s="1"/>
  <c r="C57" i="12" s="1"/>
  <c r="D57" i="9"/>
  <c r="D57" i="10" s="1"/>
  <c r="D57" i="11" s="1"/>
  <c r="D57" i="12" s="1"/>
  <c r="E57" i="9"/>
  <c r="E57" i="10" s="1"/>
  <c r="E57" i="11" s="1"/>
  <c r="E57" i="12" s="1"/>
  <c r="F57" i="9"/>
  <c r="F57" i="10" s="1"/>
  <c r="F57" i="11" s="1"/>
  <c r="F57" i="12" s="1"/>
  <c r="B58" i="9"/>
  <c r="B58" i="10" s="1"/>
  <c r="B58" i="11" s="1"/>
  <c r="B58" i="12" s="1"/>
  <c r="C58" i="9"/>
  <c r="C58" i="10" s="1"/>
  <c r="C58" i="11" s="1"/>
  <c r="C58" i="12" s="1"/>
  <c r="D58" i="9"/>
  <c r="D58" i="10" s="1"/>
  <c r="D58" i="11" s="1"/>
  <c r="D58" i="12" s="1"/>
  <c r="E58" i="9"/>
  <c r="E58" i="10" s="1"/>
  <c r="E58" i="11" s="1"/>
  <c r="E58" i="12" s="1"/>
  <c r="F58" i="9"/>
  <c r="F58" i="10" s="1"/>
  <c r="F58" i="11" s="1"/>
  <c r="F58" i="12" s="1"/>
  <c r="B59" i="9"/>
  <c r="B59" i="10" s="1"/>
  <c r="B59" i="11" s="1"/>
  <c r="B59" i="12" s="1"/>
  <c r="C59" i="9"/>
  <c r="C59" i="10" s="1"/>
  <c r="C59" i="11" s="1"/>
  <c r="C59" i="12" s="1"/>
  <c r="D59" i="9"/>
  <c r="D59" i="10" s="1"/>
  <c r="D59" i="11" s="1"/>
  <c r="D59" i="12" s="1"/>
  <c r="E59" i="9"/>
  <c r="E59" i="10" s="1"/>
  <c r="E59" i="11" s="1"/>
  <c r="E59" i="12" s="1"/>
  <c r="F59" i="9"/>
  <c r="F59" i="10" s="1"/>
  <c r="F59" i="11" s="1"/>
  <c r="F59" i="12" s="1"/>
  <c r="B60" i="9"/>
  <c r="B60" i="10" s="1"/>
  <c r="B60" i="11" s="1"/>
  <c r="B60" i="12" s="1"/>
  <c r="C60" i="9"/>
  <c r="C60" i="10" s="1"/>
  <c r="C60" i="11" s="1"/>
  <c r="C60" i="12" s="1"/>
  <c r="D60" i="9"/>
  <c r="D60" i="10" s="1"/>
  <c r="D60" i="11" s="1"/>
  <c r="D60" i="12" s="1"/>
  <c r="E60" i="9"/>
  <c r="E60" i="10" s="1"/>
  <c r="E60" i="11" s="1"/>
  <c r="E60" i="12" s="1"/>
  <c r="F60" i="9"/>
  <c r="F60" i="10" s="1"/>
  <c r="F60" i="11" s="1"/>
  <c r="F60" i="12" s="1"/>
  <c r="B61" i="9"/>
  <c r="B61" i="10" s="1"/>
  <c r="B61" i="11" s="1"/>
  <c r="B61" i="12" s="1"/>
  <c r="C61" i="9"/>
  <c r="C61" i="10" s="1"/>
  <c r="C61" i="11" s="1"/>
  <c r="C61" i="12" s="1"/>
  <c r="D61" i="9"/>
  <c r="D61" i="10" s="1"/>
  <c r="D61" i="11" s="1"/>
  <c r="D61" i="12" s="1"/>
  <c r="E61" i="9"/>
  <c r="E61" i="10" s="1"/>
  <c r="E61" i="11" s="1"/>
  <c r="E61" i="12" s="1"/>
  <c r="F61" i="9"/>
  <c r="F61" i="10" s="1"/>
  <c r="F61" i="11" s="1"/>
  <c r="F61" i="12" s="1"/>
  <c r="B62" i="9"/>
  <c r="B62" i="10" s="1"/>
  <c r="B62" i="11" s="1"/>
  <c r="B62" i="12" s="1"/>
  <c r="C62" i="9"/>
  <c r="C62" i="10" s="1"/>
  <c r="C62" i="11" s="1"/>
  <c r="C62" i="12" s="1"/>
  <c r="D62" i="9"/>
  <c r="D62" i="10" s="1"/>
  <c r="D62" i="11" s="1"/>
  <c r="D62" i="12" s="1"/>
  <c r="E62" i="9"/>
  <c r="E62" i="10" s="1"/>
  <c r="E62" i="11" s="1"/>
  <c r="E62" i="12" s="1"/>
  <c r="F62" i="9"/>
  <c r="F62" i="10" s="1"/>
  <c r="F62" i="11" s="1"/>
  <c r="F62" i="12" s="1"/>
  <c r="B63" i="9"/>
  <c r="B63" i="10" s="1"/>
  <c r="B63" i="11" s="1"/>
  <c r="B63" i="12" s="1"/>
  <c r="C63" i="9"/>
  <c r="C63" i="10" s="1"/>
  <c r="C63" i="11" s="1"/>
  <c r="C63" i="12" s="1"/>
  <c r="D63" i="9"/>
  <c r="D63" i="10" s="1"/>
  <c r="D63" i="11" s="1"/>
  <c r="D63" i="12" s="1"/>
  <c r="E63" i="9"/>
  <c r="E63" i="10" s="1"/>
  <c r="E63" i="11" s="1"/>
  <c r="E63" i="12" s="1"/>
  <c r="F63" i="9"/>
  <c r="F63" i="10" s="1"/>
  <c r="F63" i="11" s="1"/>
  <c r="F63" i="12" s="1"/>
  <c r="B64" i="9"/>
  <c r="B64" i="10" s="1"/>
  <c r="B64" i="11" s="1"/>
  <c r="B64" i="12" s="1"/>
  <c r="C64" i="9"/>
  <c r="C64" i="10" s="1"/>
  <c r="C64" i="11" s="1"/>
  <c r="C64" i="12" s="1"/>
  <c r="D64" i="9"/>
  <c r="D64" i="10" s="1"/>
  <c r="D64" i="11" s="1"/>
  <c r="D64" i="12" s="1"/>
  <c r="E64" i="9"/>
  <c r="E64" i="10" s="1"/>
  <c r="E64" i="11" s="1"/>
  <c r="E64" i="12" s="1"/>
  <c r="F64" i="9"/>
  <c r="F64" i="10" s="1"/>
  <c r="F64" i="11" s="1"/>
  <c r="F64" i="12" s="1"/>
  <c r="B65" i="9"/>
  <c r="B65" i="10" s="1"/>
  <c r="B65" i="11" s="1"/>
  <c r="B65" i="12" s="1"/>
  <c r="C65" i="9"/>
  <c r="C65" i="10" s="1"/>
  <c r="C65" i="11" s="1"/>
  <c r="C65" i="12" s="1"/>
  <c r="D65" i="9"/>
  <c r="D65" i="10" s="1"/>
  <c r="D65" i="11" s="1"/>
  <c r="D65" i="12" s="1"/>
  <c r="E65" i="9"/>
  <c r="E65" i="10" s="1"/>
  <c r="E65" i="11" s="1"/>
  <c r="E65" i="12" s="1"/>
  <c r="F65" i="9"/>
  <c r="F65" i="10" s="1"/>
  <c r="F65" i="11" s="1"/>
  <c r="F65" i="12" s="1"/>
  <c r="B66" i="9"/>
  <c r="B66" i="10" s="1"/>
  <c r="B66" i="11" s="1"/>
  <c r="B66" i="12" s="1"/>
  <c r="C66" i="9"/>
  <c r="C66" i="10" s="1"/>
  <c r="C66" i="11" s="1"/>
  <c r="C66" i="12" s="1"/>
  <c r="D66" i="9"/>
  <c r="D66" i="10" s="1"/>
  <c r="D66" i="11" s="1"/>
  <c r="D66" i="12" s="1"/>
  <c r="E66" i="9"/>
  <c r="E66" i="10" s="1"/>
  <c r="E66" i="11" s="1"/>
  <c r="E66" i="12" s="1"/>
  <c r="F66" i="9"/>
  <c r="F66" i="10" s="1"/>
  <c r="F66" i="11" s="1"/>
  <c r="F66" i="12" s="1"/>
  <c r="B67" i="9"/>
  <c r="B67" i="10" s="1"/>
  <c r="B67" i="11" s="1"/>
  <c r="B67" i="12" s="1"/>
  <c r="C67" i="9"/>
  <c r="C67" i="10" s="1"/>
  <c r="C67" i="11" s="1"/>
  <c r="C67" i="12" s="1"/>
  <c r="D67" i="9"/>
  <c r="D67" i="10" s="1"/>
  <c r="D67" i="11" s="1"/>
  <c r="D67" i="12" s="1"/>
  <c r="E67" i="9"/>
  <c r="E67" i="10" s="1"/>
  <c r="E67" i="11" s="1"/>
  <c r="E67" i="12" s="1"/>
  <c r="F67" i="9"/>
  <c r="F67" i="10" s="1"/>
  <c r="F67" i="11" s="1"/>
  <c r="F67" i="12" s="1"/>
  <c r="B68" i="9"/>
  <c r="B68" i="10" s="1"/>
  <c r="B68" i="11" s="1"/>
  <c r="B68" i="12" s="1"/>
  <c r="C68" i="9"/>
  <c r="C68" i="10" s="1"/>
  <c r="C68" i="11" s="1"/>
  <c r="C68" i="12" s="1"/>
  <c r="D68" i="9"/>
  <c r="D68" i="10" s="1"/>
  <c r="D68" i="11" s="1"/>
  <c r="D68" i="12" s="1"/>
  <c r="E68" i="9"/>
  <c r="E68" i="10" s="1"/>
  <c r="E68" i="11" s="1"/>
  <c r="E68" i="12" s="1"/>
  <c r="F68" i="9"/>
  <c r="F68" i="10" s="1"/>
  <c r="F68" i="11" s="1"/>
  <c r="F68" i="12" s="1"/>
  <c r="B69" i="9"/>
  <c r="B69" i="10" s="1"/>
  <c r="B69" i="11" s="1"/>
  <c r="B69" i="12" s="1"/>
  <c r="C69" i="9"/>
  <c r="C69" i="10" s="1"/>
  <c r="C69" i="11" s="1"/>
  <c r="C69" i="12" s="1"/>
  <c r="D69" i="9"/>
  <c r="D69" i="10" s="1"/>
  <c r="D69" i="11" s="1"/>
  <c r="D69" i="12" s="1"/>
  <c r="E69" i="9"/>
  <c r="E69" i="10" s="1"/>
  <c r="E69" i="11" s="1"/>
  <c r="E69" i="12" s="1"/>
  <c r="F69" i="9"/>
  <c r="F69" i="10" s="1"/>
  <c r="F69" i="11" s="1"/>
  <c r="F69" i="12" s="1"/>
  <c r="B70" i="9"/>
  <c r="B70" i="10" s="1"/>
  <c r="B70" i="11" s="1"/>
  <c r="B70" i="12" s="1"/>
  <c r="C70" i="9"/>
  <c r="C70" i="10" s="1"/>
  <c r="C70" i="11" s="1"/>
  <c r="C70" i="12" s="1"/>
  <c r="D70" i="9"/>
  <c r="D70" i="10" s="1"/>
  <c r="D70" i="11" s="1"/>
  <c r="D70" i="12" s="1"/>
  <c r="E70" i="9"/>
  <c r="E70" i="10" s="1"/>
  <c r="E70" i="11" s="1"/>
  <c r="E70" i="12" s="1"/>
  <c r="F70" i="9"/>
  <c r="F70" i="10" s="1"/>
  <c r="F70" i="11" s="1"/>
  <c r="F70" i="12" s="1"/>
  <c r="B71" i="9"/>
  <c r="B71" i="10" s="1"/>
  <c r="B71" i="11" s="1"/>
  <c r="B71" i="12" s="1"/>
  <c r="C71" i="9"/>
  <c r="C71" i="10" s="1"/>
  <c r="C71" i="11" s="1"/>
  <c r="C71" i="12" s="1"/>
  <c r="D71" i="9"/>
  <c r="D71" i="10" s="1"/>
  <c r="D71" i="11" s="1"/>
  <c r="D71" i="12" s="1"/>
  <c r="E71" i="9"/>
  <c r="E71" i="10" s="1"/>
  <c r="E71" i="11" s="1"/>
  <c r="E71" i="12" s="1"/>
  <c r="F71" i="9"/>
  <c r="F71" i="10" s="1"/>
  <c r="F71" i="11" s="1"/>
  <c r="F71" i="12" s="1"/>
  <c r="B72" i="9"/>
  <c r="B72" i="10" s="1"/>
  <c r="B72" i="11" s="1"/>
  <c r="B72" i="12" s="1"/>
  <c r="C72" i="9"/>
  <c r="C72" i="10" s="1"/>
  <c r="C72" i="11" s="1"/>
  <c r="C72" i="12" s="1"/>
  <c r="D72" i="9"/>
  <c r="D72" i="10" s="1"/>
  <c r="D72" i="11" s="1"/>
  <c r="D72" i="12" s="1"/>
  <c r="E72" i="9"/>
  <c r="E72" i="10" s="1"/>
  <c r="E72" i="11" s="1"/>
  <c r="E72" i="12" s="1"/>
  <c r="F72" i="9"/>
  <c r="F72" i="10" s="1"/>
  <c r="F72" i="11" s="1"/>
  <c r="F72" i="12" s="1"/>
  <c r="B53" i="9"/>
  <c r="B53" i="10" s="1"/>
  <c r="B53" i="11" s="1"/>
  <c r="B53" i="12" s="1"/>
  <c r="D53" i="9"/>
  <c r="D53" i="10" s="1"/>
  <c r="D53" i="11" s="1"/>
  <c r="D53" i="12" s="1"/>
  <c r="E53" i="9"/>
  <c r="E53" i="10" s="1"/>
  <c r="E53" i="11" s="1"/>
  <c r="E53" i="12" s="1"/>
  <c r="F53" i="9"/>
  <c r="F53" i="10" s="1"/>
  <c r="F53" i="11" s="1"/>
  <c r="F53" i="12" s="1"/>
  <c r="C53" i="9"/>
  <c r="C53" i="10" s="1"/>
  <c r="C53" i="11" s="1"/>
  <c r="C53" i="12" s="1"/>
  <c r="G53" i="9"/>
  <c r="G53" i="10" s="1"/>
  <c r="G53" i="11" s="1"/>
  <c r="G53" i="12" s="1"/>
  <c r="G58" i="9"/>
  <c r="G58" i="10" s="1"/>
  <c r="G58" i="11" s="1"/>
  <c r="G58" i="12" s="1"/>
  <c r="G59" i="9"/>
  <c r="G59" i="10" s="1"/>
  <c r="G59" i="11" s="1"/>
  <c r="G59" i="12" s="1"/>
  <c r="G60" i="9"/>
  <c r="G60" i="10" s="1"/>
  <c r="G60" i="11" s="1"/>
  <c r="G60" i="12" s="1"/>
  <c r="G61" i="9"/>
  <c r="G61" i="10" s="1"/>
  <c r="G61" i="11" s="1"/>
  <c r="G61" i="12" s="1"/>
  <c r="G62" i="9"/>
  <c r="G62" i="10" s="1"/>
  <c r="G62" i="11" s="1"/>
  <c r="G62" i="12" s="1"/>
  <c r="G63" i="9"/>
  <c r="G63" i="10" s="1"/>
  <c r="G63" i="11" s="1"/>
  <c r="G63" i="12" s="1"/>
  <c r="G64" i="9"/>
  <c r="G64" i="10" s="1"/>
  <c r="G64" i="11" s="1"/>
  <c r="G64" i="12" s="1"/>
  <c r="G65" i="9"/>
  <c r="G65" i="10" s="1"/>
  <c r="G65" i="11" s="1"/>
  <c r="G65" i="12" s="1"/>
  <c r="G66" i="9"/>
  <c r="G66" i="10" s="1"/>
  <c r="G66" i="11" s="1"/>
  <c r="G66" i="12" s="1"/>
  <c r="G67" i="9"/>
  <c r="G67" i="10" s="1"/>
  <c r="G67" i="11" s="1"/>
  <c r="G67" i="12" s="1"/>
  <c r="G68" i="9"/>
  <c r="G68" i="10" s="1"/>
  <c r="G68" i="11" s="1"/>
  <c r="G68" i="12" s="1"/>
  <c r="G69" i="9"/>
  <c r="G69" i="10" s="1"/>
  <c r="G69" i="11" s="1"/>
  <c r="G69" i="12" s="1"/>
  <c r="G70" i="9"/>
  <c r="G70" i="10" s="1"/>
  <c r="G70" i="11" s="1"/>
  <c r="G70" i="12" s="1"/>
  <c r="G71" i="9"/>
  <c r="G71" i="10" s="1"/>
  <c r="G71" i="11" s="1"/>
  <c r="G71" i="12" s="1"/>
  <c r="G72" i="9"/>
  <c r="G72" i="10" s="1"/>
  <c r="G72" i="11" s="1"/>
  <c r="G72" i="12" s="1"/>
  <c r="G54" i="9"/>
  <c r="G54" i="10" s="1"/>
  <c r="G54" i="11" s="1"/>
  <c r="G54" i="12" s="1"/>
  <c r="G55" i="9"/>
  <c r="G55" i="10" s="1"/>
  <c r="G55" i="11" s="1"/>
  <c r="G55" i="12" s="1"/>
  <c r="G56" i="9"/>
  <c r="G56" i="10" s="1"/>
  <c r="G56" i="11" s="1"/>
  <c r="G56" i="12" s="1"/>
  <c r="G57" i="9"/>
  <c r="G57" i="10" s="1"/>
  <c r="G57" i="11" s="1"/>
  <c r="G57" i="12" s="1"/>
  <c r="M41" i="1"/>
  <c r="D76" i="16" s="1"/>
  <c r="M48" i="1"/>
  <c r="D83" i="16" s="1"/>
  <c r="M47" i="1"/>
  <c r="M46" i="1"/>
  <c r="D81" i="16" s="1"/>
  <c r="M45" i="1"/>
  <c r="D80" i="16" s="1"/>
  <c r="M44" i="1"/>
  <c r="N44" i="1" s="1"/>
  <c r="M42" i="1"/>
  <c r="N42" i="1" s="1"/>
  <c r="M39" i="1"/>
  <c r="D74" i="16" s="1"/>
  <c r="M40" i="1"/>
  <c r="N40" i="1" s="1"/>
  <c r="O63" i="1"/>
  <c r="D400" i="13" s="1"/>
  <c r="O64" i="1"/>
  <c r="D402" i="13" s="1"/>
  <c r="O65" i="1"/>
  <c r="D404" i="13" s="1"/>
  <c r="O66" i="1"/>
  <c r="D406" i="13" s="1"/>
  <c r="O67" i="1"/>
  <c r="D408" i="13" s="1"/>
  <c r="O57" i="1"/>
  <c r="D388" i="13" s="1"/>
  <c r="O59" i="1"/>
  <c r="D392" i="13" s="1"/>
  <c r="O60" i="1"/>
  <c r="D394" i="13" s="1"/>
  <c r="N57" i="12" l="1"/>
  <c r="N56" i="11"/>
  <c r="N59" i="9"/>
  <c r="N58" i="9"/>
  <c r="O58" i="9" s="1"/>
  <c r="E390" i="13" s="1"/>
  <c r="N53" i="12"/>
  <c r="O53" i="12" s="1"/>
  <c r="H380" i="13" s="1"/>
  <c r="N60" i="12"/>
  <c r="M55" i="10"/>
  <c r="M55" i="11" s="1"/>
  <c r="M55" i="12" s="1"/>
  <c r="N55" i="12" s="1"/>
  <c r="O55" i="12" s="1"/>
  <c r="H384" i="13" s="1"/>
  <c r="H7" i="10"/>
  <c r="H7" i="11" s="1"/>
  <c r="N54" i="9"/>
  <c r="O54" i="9" s="1"/>
  <c r="E382" i="13" s="1"/>
  <c r="N66" i="10"/>
  <c r="M61" i="10"/>
  <c r="M72" i="10"/>
  <c r="O72" i="10" s="1"/>
  <c r="F418" i="13" s="1"/>
  <c r="N57" i="10"/>
  <c r="O57" i="10" s="1"/>
  <c r="F388" i="13" s="1"/>
  <c r="M70" i="10"/>
  <c r="N57" i="11"/>
  <c r="M62" i="10"/>
  <c r="N62" i="10" s="1"/>
  <c r="N66" i="9"/>
  <c r="M59" i="10"/>
  <c r="N64" i="9"/>
  <c r="M58" i="10"/>
  <c r="N63" i="9"/>
  <c r="N62" i="9"/>
  <c r="O62" i="9" s="1"/>
  <c r="E398" i="13" s="1"/>
  <c r="D75" i="16"/>
  <c r="D82" i="16"/>
  <c r="D77" i="16"/>
  <c r="D79" i="16"/>
  <c r="D78" i="16"/>
  <c r="N56" i="9"/>
  <c r="N63" i="10"/>
  <c r="N53" i="9"/>
  <c r="N65" i="9"/>
  <c r="N60" i="10"/>
  <c r="N55" i="11"/>
  <c r="N53" i="10"/>
  <c r="O53" i="10" s="1"/>
  <c r="F380" i="13" s="1"/>
  <c r="N53" i="11"/>
  <c r="O53" i="11" s="1"/>
  <c r="G380" i="13" s="1"/>
  <c r="N61" i="9"/>
  <c r="O61" i="9" s="1"/>
  <c r="E396" i="13" s="1"/>
  <c r="N56" i="10"/>
  <c r="O56" i="10" s="1"/>
  <c r="F386" i="13" s="1"/>
  <c r="N72" i="9"/>
  <c r="N60" i="9"/>
  <c r="N71" i="9"/>
  <c r="N60" i="11"/>
  <c r="O60" i="11" s="1"/>
  <c r="G394" i="13" s="1"/>
  <c r="N57" i="9"/>
  <c r="O57" i="9" s="1"/>
  <c r="E388" i="13" s="1"/>
  <c r="M69" i="10"/>
  <c r="N69" i="10" s="1"/>
  <c r="M68" i="10"/>
  <c r="N68" i="10" s="1"/>
  <c r="O56" i="11"/>
  <c r="G386" i="13" s="1"/>
  <c r="M56" i="12"/>
  <c r="N56" i="12" s="1"/>
  <c r="M71" i="10"/>
  <c r="N71" i="10" s="1"/>
  <c r="M66" i="11"/>
  <c r="N66" i="11" s="1"/>
  <c r="M63" i="11"/>
  <c r="N63" i="11" s="1"/>
  <c r="O63" i="9"/>
  <c r="E400" i="13" s="1"/>
  <c r="O66" i="9"/>
  <c r="E406" i="13" s="1"/>
  <c r="B73" i="11"/>
  <c r="M42" i="9"/>
  <c r="B73" i="9"/>
  <c r="D284" i="13"/>
  <c r="M44" i="9"/>
  <c r="M46" i="9"/>
  <c r="M45" i="9"/>
  <c r="E80" i="16" s="1"/>
  <c r="M47" i="9"/>
  <c r="M43" i="9"/>
  <c r="M39" i="9"/>
  <c r="M40" i="9"/>
  <c r="E75" i="16" s="1"/>
  <c r="M48" i="9"/>
  <c r="M41" i="9"/>
  <c r="E76" i="16" s="1"/>
  <c r="H10" i="11"/>
  <c r="H9" i="11"/>
  <c r="H9" i="12" s="1"/>
  <c r="H8" i="11"/>
  <c r="B73" i="12"/>
  <c r="M43" i="12"/>
  <c r="M40" i="12"/>
  <c r="H75" i="16" s="1"/>
  <c r="M48" i="12"/>
  <c r="M41" i="12"/>
  <c r="H76" i="16" s="1"/>
  <c r="M46" i="12"/>
  <c r="O57" i="12"/>
  <c r="H388" i="13" s="1"/>
  <c r="O60" i="12"/>
  <c r="H394" i="13" s="1"/>
  <c r="O57" i="11"/>
  <c r="G388" i="13" s="1"/>
  <c r="M43" i="11"/>
  <c r="M48" i="11"/>
  <c r="M40" i="11"/>
  <c r="G75" i="16" s="1"/>
  <c r="M46" i="11"/>
  <c r="M41" i="11"/>
  <c r="G76" i="16" s="1"/>
  <c r="M67" i="10"/>
  <c r="N67" i="10" s="1"/>
  <c r="M54" i="10"/>
  <c r="N54" i="10" s="1"/>
  <c r="M65" i="10"/>
  <c r="N65" i="10" s="1"/>
  <c r="M64" i="10"/>
  <c r="N64" i="10" s="1"/>
  <c r="M42" i="10"/>
  <c r="M43" i="10"/>
  <c r="B73" i="10"/>
  <c r="M47" i="10"/>
  <c r="M48" i="10"/>
  <c r="M39" i="10"/>
  <c r="M44" i="10"/>
  <c r="F79" i="16" s="1"/>
  <c r="M46" i="10"/>
  <c r="F81" i="16" s="1"/>
  <c r="O60" i="10"/>
  <c r="F394" i="13" s="1"/>
  <c r="M41" i="10"/>
  <c r="F76" i="16" s="1"/>
  <c r="O68" i="9"/>
  <c r="E410" i="13" s="1"/>
  <c r="O67" i="9"/>
  <c r="E408" i="13" s="1"/>
  <c r="O56" i="9"/>
  <c r="E386" i="13" s="1"/>
  <c r="O59" i="9"/>
  <c r="E392" i="13" s="1"/>
  <c r="O70" i="9"/>
  <c r="E414" i="13" s="1"/>
  <c r="O60" i="9"/>
  <c r="E394" i="13" s="1"/>
  <c r="O69" i="9"/>
  <c r="E412" i="13" s="1"/>
  <c r="O55" i="9"/>
  <c r="E384" i="13" s="1"/>
  <c r="O53" i="9"/>
  <c r="E380" i="13" s="1"/>
  <c r="N45" i="1"/>
  <c r="O45" i="1" s="1"/>
  <c r="N47" i="1"/>
  <c r="O47" i="1" s="1"/>
  <c r="N48" i="1"/>
  <c r="O42" i="1"/>
  <c r="O43" i="1"/>
  <c r="O44" i="1"/>
  <c r="N46" i="1"/>
  <c r="O46" i="1" s="1"/>
  <c r="N41" i="1"/>
  <c r="N39" i="1"/>
  <c r="O39" i="1" s="1"/>
  <c r="O40" i="1"/>
  <c r="D84" i="16" l="1"/>
  <c r="M45" i="10"/>
  <c r="N45" i="10" s="1"/>
  <c r="O45" i="10" s="1"/>
  <c r="M40" i="10"/>
  <c r="F75" i="16" s="1"/>
  <c r="I75" i="16" s="1"/>
  <c r="N55" i="10"/>
  <c r="O55" i="10"/>
  <c r="F384" i="13" s="1"/>
  <c r="O55" i="11"/>
  <c r="G384" i="13" s="1"/>
  <c r="M62" i="11"/>
  <c r="N62" i="11" s="1"/>
  <c r="O62" i="11" s="1"/>
  <c r="G398" i="13" s="1"/>
  <c r="O48" i="1"/>
  <c r="D124" i="13"/>
  <c r="N61" i="10"/>
  <c r="O61" i="10" s="1"/>
  <c r="F396" i="13" s="1"/>
  <c r="M72" i="11"/>
  <c r="N72" i="11" s="1"/>
  <c r="N72" i="10"/>
  <c r="O62" i="10"/>
  <c r="F398" i="13" s="1"/>
  <c r="M61" i="11"/>
  <c r="M58" i="11"/>
  <c r="M44" i="11" s="1"/>
  <c r="N44" i="11" s="1"/>
  <c r="O44" i="11" s="1"/>
  <c r="N58" i="10"/>
  <c r="O58" i="10" s="1"/>
  <c r="F390" i="13" s="1"/>
  <c r="M59" i="11"/>
  <c r="M45" i="11" s="1"/>
  <c r="G80" i="16" s="1"/>
  <c r="N59" i="10"/>
  <c r="O59" i="10" s="1"/>
  <c r="F392" i="13" s="1"/>
  <c r="O70" i="10"/>
  <c r="F414" i="13" s="1"/>
  <c r="N70" i="10"/>
  <c r="M70" i="11"/>
  <c r="O70" i="11" s="1"/>
  <c r="G414" i="13" s="1"/>
  <c r="H8" i="12"/>
  <c r="G83" i="16"/>
  <c r="G114" i="13"/>
  <c r="N43" i="10"/>
  <c r="F78" i="16"/>
  <c r="N42" i="10"/>
  <c r="O42" i="10" s="1"/>
  <c r="F77" i="16"/>
  <c r="N43" i="9"/>
  <c r="E78" i="16"/>
  <c r="O56" i="12"/>
  <c r="H386" i="13" s="1"/>
  <c r="I386" i="13" s="1"/>
  <c r="E82" i="16"/>
  <c r="E79" i="16"/>
  <c r="N39" i="10"/>
  <c r="O39" i="10" s="1"/>
  <c r="F74" i="16"/>
  <c r="N48" i="10"/>
  <c r="F124" i="13" s="1"/>
  <c r="F83" i="16"/>
  <c r="G112" i="13"/>
  <c r="G81" i="16"/>
  <c r="H114" i="13"/>
  <c r="H83" i="16"/>
  <c r="N42" i="9"/>
  <c r="O42" i="9" s="1"/>
  <c r="E77" i="16"/>
  <c r="H81" i="16"/>
  <c r="H112" i="13"/>
  <c r="N43" i="12"/>
  <c r="H122" i="13" s="1"/>
  <c r="H109" i="13"/>
  <c r="H78" i="16"/>
  <c r="N48" i="9"/>
  <c r="E83" i="16"/>
  <c r="N46" i="9"/>
  <c r="O46" i="9" s="1"/>
  <c r="E81" i="16"/>
  <c r="M70" i="12"/>
  <c r="N43" i="11"/>
  <c r="G78" i="16"/>
  <c r="G109" i="13"/>
  <c r="N39" i="9"/>
  <c r="O39" i="9" s="1"/>
  <c r="E74" i="16"/>
  <c r="F82" i="16"/>
  <c r="O66" i="11"/>
  <c r="G406" i="13" s="1"/>
  <c r="M66" i="12"/>
  <c r="N66" i="12" s="1"/>
  <c r="M72" i="12"/>
  <c r="N72" i="12" s="1"/>
  <c r="M62" i="12"/>
  <c r="N62" i="12" s="1"/>
  <c r="O64" i="10"/>
  <c r="F402" i="13" s="1"/>
  <c r="M64" i="11"/>
  <c r="N64" i="11" s="1"/>
  <c r="O65" i="10"/>
  <c r="F404" i="13" s="1"/>
  <c r="M65" i="11"/>
  <c r="N65" i="11" s="1"/>
  <c r="O54" i="10"/>
  <c r="F382" i="13" s="1"/>
  <c r="M54" i="11"/>
  <c r="M39" i="11" s="1"/>
  <c r="N39" i="11" s="1"/>
  <c r="O39" i="11" s="1"/>
  <c r="O68" i="10"/>
  <c r="F410" i="13" s="1"/>
  <c r="M68" i="11"/>
  <c r="N68" i="11" s="1"/>
  <c r="O71" i="10"/>
  <c r="F416" i="13" s="1"/>
  <c r="M71" i="11"/>
  <c r="N71" i="11" s="1"/>
  <c r="O67" i="10"/>
  <c r="F408" i="13" s="1"/>
  <c r="M67" i="11"/>
  <c r="N67" i="11" s="1"/>
  <c r="O69" i="10"/>
  <c r="F412" i="13" s="1"/>
  <c r="M69" i="11"/>
  <c r="N69" i="11" s="1"/>
  <c r="O63" i="11"/>
  <c r="G400" i="13" s="1"/>
  <c r="M63" i="12"/>
  <c r="N63" i="12" s="1"/>
  <c r="H10" i="12"/>
  <c r="I388" i="13"/>
  <c r="N40" i="9"/>
  <c r="O40" i="9" s="1"/>
  <c r="I394" i="13"/>
  <c r="N47" i="9"/>
  <c r="O47" i="9" s="1"/>
  <c r="F107" i="13"/>
  <c r="G107" i="13"/>
  <c r="O41" i="1"/>
  <c r="N44" i="9"/>
  <c r="O44" i="9" s="1"/>
  <c r="E106" i="13"/>
  <c r="O43" i="11"/>
  <c r="N41" i="9"/>
  <c r="O41" i="9" s="1"/>
  <c r="E107" i="13"/>
  <c r="N45" i="9"/>
  <c r="O45" i="9" s="1"/>
  <c r="H7" i="12"/>
  <c r="O43" i="12"/>
  <c r="N46" i="12"/>
  <c r="O46" i="12" s="1"/>
  <c r="N41" i="12"/>
  <c r="N48" i="12"/>
  <c r="N40" i="12"/>
  <c r="O40" i="12" s="1"/>
  <c r="N41" i="11"/>
  <c r="O41" i="11" s="1"/>
  <c r="N46" i="11"/>
  <c r="O46" i="11" s="1"/>
  <c r="N40" i="11"/>
  <c r="O40" i="11" s="1"/>
  <c r="N48" i="11"/>
  <c r="N47" i="10"/>
  <c r="O47" i="10" s="1"/>
  <c r="O48" i="10"/>
  <c r="N46" i="10"/>
  <c r="O46" i="10" s="1"/>
  <c r="N41" i="10"/>
  <c r="O41" i="10" s="1"/>
  <c r="N44" i="10"/>
  <c r="O44" i="10" s="1"/>
  <c r="O73" i="9"/>
  <c r="O41" i="12" l="1"/>
  <c r="G76" i="12" s="1"/>
  <c r="E84" i="16"/>
  <c r="G74" i="16"/>
  <c r="M47" i="11"/>
  <c r="M61" i="12"/>
  <c r="M47" i="12" s="1"/>
  <c r="G110" i="13"/>
  <c r="G111" i="13"/>
  <c r="N45" i="11"/>
  <c r="O45" i="11" s="1"/>
  <c r="F80" i="16"/>
  <c r="F84" i="16" s="1"/>
  <c r="G79" i="16"/>
  <c r="F106" i="13"/>
  <c r="N40" i="10"/>
  <c r="O40" i="10" s="1"/>
  <c r="N61" i="11"/>
  <c r="O61" i="11" s="1"/>
  <c r="G396" i="13" s="1"/>
  <c r="O48" i="9"/>
  <c r="E124" i="13"/>
  <c r="O43" i="9"/>
  <c r="E122" i="13"/>
  <c r="H93" i="16"/>
  <c r="H124" i="13"/>
  <c r="G93" i="16"/>
  <c r="G124" i="13"/>
  <c r="O72" i="11"/>
  <c r="G418" i="13" s="1"/>
  <c r="G91" i="16"/>
  <c r="G122" i="13"/>
  <c r="O43" i="10"/>
  <c r="F122" i="13"/>
  <c r="N70" i="11"/>
  <c r="N54" i="11"/>
  <c r="O54" i="11" s="1"/>
  <c r="M42" i="11"/>
  <c r="M59" i="12"/>
  <c r="M45" i="12" s="1"/>
  <c r="N59" i="11"/>
  <c r="O59" i="11" s="1"/>
  <c r="G392" i="13" s="1"/>
  <c r="M58" i="12"/>
  <c r="M44" i="12" s="1"/>
  <c r="N58" i="11"/>
  <c r="O58" i="11" s="1"/>
  <c r="G390" i="13" s="1"/>
  <c r="H91" i="16"/>
  <c r="O70" i="12"/>
  <c r="H414" i="13" s="1"/>
  <c r="I414" i="13" s="1"/>
  <c r="N70" i="12"/>
  <c r="O73" i="10"/>
  <c r="M67" i="12"/>
  <c r="N67" i="12" s="1"/>
  <c r="O67" i="11"/>
  <c r="G408" i="13" s="1"/>
  <c r="O62" i="12"/>
  <c r="H398" i="13" s="1"/>
  <c r="I398" i="13" s="1"/>
  <c r="M68" i="12"/>
  <c r="N68" i="12" s="1"/>
  <c r="O68" i="11"/>
  <c r="G410" i="13" s="1"/>
  <c r="O72" i="12"/>
  <c r="H418" i="13" s="1"/>
  <c r="O71" i="11"/>
  <c r="G416" i="13" s="1"/>
  <c r="M71" i="12"/>
  <c r="N71" i="12" s="1"/>
  <c r="O63" i="12"/>
  <c r="H400" i="13" s="1"/>
  <c r="I400" i="13" s="1"/>
  <c r="O66" i="12"/>
  <c r="H406" i="13" s="1"/>
  <c r="I406" i="13" s="1"/>
  <c r="O69" i="11"/>
  <c r="G412" i="13" s="1"/>
  <c r="M69" i="12"/>
  <c r="N69" i="12" s="1"/>
  <c r="O64" i="11"/>
  <c r="G402" i="13" s="1"/>
  <c r="M64" i="12"/>
  <c r="N64" i="12" s="1"/>
  <c r="M54" i="12"/>
  <c r="O65" i="11"/>
  <c r="G404" i="13" s="1"/>
  <c r="M65" i="12"/>
  <c r="N65" i="12" s="1"/>
  <c r="I76" i="16"/>
  <c r="O48" i="11"/>
  <c r="O48" i="12"/>
  <c r="G76" i="11"/>
  <c r="G77" i="11"/>
  <c r="G77" i="12" l="1"/>
  <c r="M42" i="12"/>
  <c r="N42" i="12" s="1"/>
  <c r="O42" i="12" s="1"/>
  <c r="M39" i="12"/>
  <c r="N61" i="12"/>
  <c r="O61" i="12" s="1"/>
  <c r="H396" i="13" s="1"/>
  <c r="I396" i="13" s="1"/>
  <c r="N47" i="12"/>
  <c r="O47" i="12" s="1"/>
  <c r="H82" i="16"/>
  <c r="H113" i="13"/>
  <c r="N47" i="11"/>
  <c r="O47" i="11" s="1"/>
  <c r="G82" i="16"/>
  <c r="G113" i="13"/>
  <c r="H80" i="16"/>
  <c r="H111" i="13"/>
  <c r="N45" i="12"/>
  <c r="O45" i="12" s="1"/>
  <c r="H110" i="13"/>
  <c r="N44" i="12"/>
  <c r="H79" i="16"/>
  <c r="O49" i="10"/>
  <c r="I418" i="13"/>
  <c r="N42" i="11"/>
  <c r="O42" i="11" s="1"/>
  <c r="G108" i="13"/>
  <c r="G77" i="16"/>
  <c r="G84" i="16" s="1"/>
  <c r="N58" i="12"/>
  <c r="O58" i="12" s="1"/>
  <c r="H390" i="13" s="1"/>
  <c r="I390" i="13" s="1"/>
  <c r="N59" i="12"/>
  <c r="O59" i="12"/>
  <c r="H392" i="13" s="1"/>
  <c r="I392" i="13" s="1"/>
  <c r="N54" i="12"/>
  <c r="O54" i="12" s="1"/>
  <c r="H382" i="13" s="1"/>
  <c r="G382" i="13"/>
  <c r="O73" i="11"/>
  <c r="O69" i="12"/>
  <c r="H412" i="13" s="1"/>
  <c r="I412" i="13" s="1"/>
  <c r="O65" i="12"/>
  <c r="H404" i="13" s="1"/>
  <c r="I404" i="13" s="1"/>
  <c r="O68" i="12"/>
  <c r="H410" i="13" s="1"/>
  <c r="I410" i="13" s="1"/>
  <c r="O64" i="12"/>
  <c r="H402" i="13" s="1"/>
  <c r="I402" i="13" s="1"/>
  <c r="O67" i="12"/>
  <c r="H408" i="13" s="1"/>
  <c r="I408" i="13" s="1"/>
  <c r="O71" i="12"/>
  <c r="H416" i="13" s="1"/>
  <c r="I416" i="13" s="1"/>
  <c r="D380" i="13"/>
  <c r="I380" i="13" s="1"/>
  <c r="O55" i="1"/>
  <c r="D382" i="13"/>
  <c r="O44" i="12" l="1"/>
  <c r="H92" i="16"/>
  <c r="H123" i="13"/>
  <c r="D384" i="13"/>
  <c r="I384" i="13" s="1"/>
  <c r="O73" i="1"/>
  <c r="O49" i="11"/>
  <c r="H77" i="16"/>
  <c r="H108" i="13"/>
  <c r="N39" i="12"/>
  <c r="O39" i="12" s="1"/>
  <c r="H74" i="16"/>
  <c r="O73" i="12"/>
  <c r="I382" i="13"/>
  <c r="D107" i="13"/>
  <c r="D106" i="13"/>
  <c r="O49" i="12" l="1"/>
  <c r="H84" i="16"/>
  <c r="B73" i="1"/>
  <c r="I21" i="9"/>
  <c r="J21" i="9" s="1"/>
  <c r="E283" i="13" s="1"/>
  <c r="I22" i="9"/>
  <c r="J22" i="9" s="1"/>
  <c r="I23" i="9"/>
  <c r="J23" i="9" s="1"/>
  <c r="I24" i="9"/>
  <c r="J24" i="9" s="1"/>
  <c r="I25" i="9"/>
  <c r="J25" i="9" s="1"/>
  <c r="I26" i="9"/>
  <c r="J26" i="9" s="1"/>
  <c r="I27" i="9"/>
  <c r="J27" i="9" s="1"/>
  <c r="I28" i="9"/>
  <c r="L28" i="9" s="1"/>
  <c r="I29" i="9"/>
  <c r="J29" i="9" s="1"/>
  <c r="I30" i="9"/>
  <c r="J30" i="9" s="1"/>
  <c r="I31" i="9"/>
  <c r="J31" i="9" s="1"/>
  <c r="I32" i="9"/>
  <c r="K32" i="9" s="1"/>
  <c r="I33" i="9"/>
  <c r="L33" i="9" s="1"/>
  <c r="I34" i="9"/>
  <c r="K34" i="9" s="1"/>
  <c r="I8" i="9"/>
  <c r="J8" i="9" s="1"/>
  <c r="I9" i="9"/>
  <c r="J9" i="9" s="1"/>
  <c r="I10" i="9"/>
  <c r="L10" i="9" s="1"/>
  <c r="I11" i="9"/>
  <c r="I11" i="10" s="1"/>
  <c r="I12" i="9"/>
  <c r="I12" i="10" s="1"/>
  <c r="I13" i="9"/>
  <c r="J13" i="9" s="1"/>
  <c r="I14" i="9"/>
  <c r="L14" i="9" s="1"/>
  <c r="I34" i="10" l="1"/>
  <c r="I34" i="11" s="1"/>
  <c r="I34" i="12" s="1"/>
  <c r="I33" i="10"/>
  <c r="I33" i="11" s="1"/>
  <c r="I33" i="12" s="1"/>
  <c r="I32" i="10"/>
  <c r="I21" i="10"/>
  <c r="J21" i="10"/>
  <c r="F283" i="13" s="1"/>
  <c r="F284" i="13" s="1"/>
  <c r="K25" i="9"/>
  <c r="I27" i="10"/>
  <c r="I23" i="10"/>
  <c r="J23" i="10" s="1"/>
  <c r="I30" i="10"/>
  <c r="J30" i="10" s="1"/>
  <c r="J27" i="10"/>
  <c r="I26" i="10"/>
  <c r="J26" i="10" s="1"/>
  <c r="I25" i="10"/>
  <c r="I25" i="11" s="1"/>
  <c r="I29" i="10"/>
  <c r="J29" i="10" s="1"/>
  <c r="I31" i="10"/>
  <c r="I31" i="11" s="1"/>
  <c r="I31" i="12" s="1"/>
  <c r="I28" i="10"/>
  <c r="I28" i="11" s="1"/>
  <c r="I28" i="12" s="1"/>
  <c r="I21" i="11"/>
  <c r="I22" i="10"/>
  <c r="I22" i="11" s="1"/>
  <c r="I22" i="12" s="1"/>
  <c r="I27" i="11"/>
  <c r="K14" i="9"/>
  <c r="K11" i="9"/>
  <c r="I14" i="10"/>
  <c r="I14" i="11" s="1"/>
  <c r="I14" i="12" s="1"/>
  <c r="J11" i="9"/>
  <c r="J11" i="10" s="1"/>
  <c r="L11" i="9"/>
  <c r="J14" i="9"/>
  <c r="L29" i="9"/>
  <c r="L30" i="9"/>
  <c r="K29" i="9"/>
  <c r="L26" i="9"/>
  <c r="K26" i="9"/>
  <c r="K26" i="10" s="1"/>
  <c r="K30" i="9"/>
  <c r="L12" i="9"/>
  <c r="L27" i="9"/>
  <c r="K12" i="9"/>
  <c r="K27" i="9"/>
  <c r="J28" i="9"/>
  <c r="J28" i="10" s="1"/>
  <c r="J12" i="9"/>
  <c r="J12" i="10" s="1"/>
  <c r="E284" i="13"/>
  <c r="I27" i="12"/>
  <c r="I21" i="12"/>
  <c r="I11" i="11"/>
  <c r="I12" i="11"/>
  <c r="I25" i="12"/>
  <c r="J25" i="10"/>
  <c r="K25" i="10" s="1"/>
  <c r="I13" i="10"/>
  <c r="I32" i="11"/>
  <c r="I29" i="11"/>
  <c r="I26" i="11"/>
  <c r="I24" i="10"/>
  <c r="I10" i="10"/>
  <c r="I9" i="10"/>
  <c r="I8" i="10"/>
  <c r="K10" i="9"/>
  <c r="K23" i="9"/>
  <c r="K23" i="10" s="1"/>
  <c r="L25" i="9"/>
  <c r="J10" i="9"/>
  <c r="J32" i="9"/>
  <c r="J32" i="10" s="1"/>
  <c r="K32" i="10" s="1"/>
  <c r="L32" i="10" s="1"/>
  <c r="K13" i="9"/>
  <c r="K28" i="9"/>
  <c r="L8" i="9"/>
  <c r="L32" i="9"/>
  <c r="K8" i="9"/>
  <c r="L23" i="9"/>
  <c r="L31" i="9"/>
  <c r="K31" i="9"/>
  <c r="J34" i="9"/>
  <c r="J34" i="10" s="1"/>
  <c r="L22" i="9"/>
  <c r="K22" i="9"/>
  <c r="L13" i="9"/>
  <c r="L34" i="9"/>
  <c r="L21" i="9"/>
  <c r="K21" i="9"/>
  <c r="J33" i="9"/>
  <c r="K33" i="9"/>
  <c r="L9" i="9"/>
  <c r="L24" i="9"/>
  <c r="K9" i="9"/>
  <c r="K24" i="9"/>
  <c r="J31" i="10" l="1"/>
  <c r="J31" i="11" s="1"/>
  <c r="K27" i="10"/>
  <c r="K30" i="10"/>
  <c r="L30" i="10" s="1"/>
  <c r="J27" i="11"/>
  <c r="J27" i="12" s="1"/>
  <c r="J33" i="10"/>
  <c r="K33" i="10" s="1"/>
  <c r="L33" i="10" s="1"/>
  <c r="J21" i="11"/>
  <c r="G283" i="13" s="1"/>
  <c r="G284" i="13" s="1"/>
  <c r="I23" i="11"/>
  <c r="J21" i="12"/>
  <c r="H283" i="13" s="1"/>
  <c r="H284" i="13" s="1"/>
  <c r="K29" i="10"/>
  <c r="L29" i="10" s="1"/>
  <c r="I30" i="11"/>
  <c r="J22" i="10"/>
  <c r="J22" i="11" s="1"/>
  <c r="K11" i="10"/>
  <c r="L11" i="10" s="1"/>
  <c r="L27" i="10"/>
  <c r="L23" i="10"/>
  <c r="L26" i="10"/>
  <c r="K12" i="10"/>
  <c r="L12" i="10" s="1"/>
  <c r="J14" i="10"/>
  <c r="K14" i="10" s="1"/>
  <c r="L14" i="10" s="1"/>
  <c r="K21" i="10"/>
  <c r="F281" i="13" s="1"/>
  <c r="F282" i="13" s="1"/>
  <c r="E281" i="13"/>
  <c r="J31" i="12"/>
  <c r="K34" i="10"/>
  <c r="L34" i="10" s="1"/>
  <c r="J34" i="11"/>
  <c r="K34" i="11" s="1"/>
  <c r="L34" i="11" s="1"/>
  <c r="I32" i="12"/>
  <c r="J32" i="11"/>
  <c r="K32" i="11" s="1"/>
  <c r="L32" i="11" s="1"/>
  <c r="I29" i="12"/>
  <c r="J29" i="11"/>
  <c r="L25" i="10"/>
  <c r="I8" i="11"/>
  <c r="J8" i="10"/>
  <c r="K8" i="10" s="1"/>
  <c r="L8" i="10" s="1"/>
  <c r="K28" i="10"/>
  <c r="L28" i="10" s="1"/>
  <c r="I11" i="12"/>
  <c r="J11" i="11"/>
  <c r="K11" i="11" s="1"/>
  <c r="L11" i="11" s="1"/>
  <c r="J9" i="10"/>
  <c r="K9" i="10" s="1"/>
  <c r="L9" i="10" s="1"/>
  <c r="I9" i="11"/>
  <c r="K31" i="10"/>
  <c r="L31" i="10" s="1"/>
  <c r="I12" i="12"/>
  <c r="J12" i="11"/>
  <c r="I10" i="11"/>
  <c r="J10" i="10"/>
  <c r="K10" i="10" s="1"/>
  <c r="L10" i="10" s="1"/>
  <c r="J24" i="10"/>
  <c r="K24" i="10" s="1"/>
  <c r="L24" i="10" s="1"/>
  <c r="I24" i="11"/>
  <c r="J25" i="11"/>
  <c r="K25" i="11" s="1"/>
  <c r="J28" i="11"/>
  <c r="I13" i="11"/>
  <c r="J13" i="10"/>
  <c r="K13" i="10" s="1"/>
  <c r="L13" i="10" s="1"/>
  <c r="I23" i="12"/>
  <c r="J23" i="11"/>
  <c r="K23" i="11" s="1"/>
  <c r="L23" i="11" s="1"/>
  <c r="I26" i="12"/>
  <c r="J26" i="11"/>
  <c r="K26" i="11" s="1"/>
  <c r="L26" i="11" s="1"/>
  <c r="I7" i="9"/>
  <c r="I7" i="10" s="1"/>
  <c r="I283" i="13" l="1"/>
  <c r="K27" i="11"/>
  <c r="L27" i="11" s="1"/>
  <c r="K22" i="10"/>
  <c r="L22" i="10" s="1"/>
  <c r="K29" i="11"/>
  <c r="L29" i="11" s="1"/>
  <c r="J33" i="11"/>
  <c r="I30" i="12"/>
  <c r="J30" i="11"/>
  <c r="K30" i="11" s="1"/>
  <c r="L30" i="11" s="1"/>
  <c r="K12" i="11"/>
  <c r="L12" i="11" s="1"/>
  <c r="K28" i="11"/>
  <c r="L28" i="11" s="1"/>
  <c r="J14" i="11"/>
  <c r="K14" i="11" s="1"/>
  <c r="L14" i="11" s="1"/>
  <c r="K31" i="11"/>
  <c r="L31" i="11" s="1"/>
  <c r="K21" i="11"/>
  <c r="K21" i="12" s="1"/>
  <c r="L25" i="11"/>
  <c r="L21" i="10"/>
  <c r="K27" i="12"/>
  <c r="L27" i="12" s="1"/>
  <c r="E282" i="13"/>
  <c r="J12" i="12"/>
  <c r="J34" i="12"/>
  <c r="K34" i="12" s="1"/>
  <c r="L34" i="12" s="1"/>
  <c r="J23" i="12"/>
  <c r="K23" i="12" s="1"/>
  <c r="L23" i="12" s="1"/>
  <c r="I9" i="12"/>
  <c r="J9" i="11"/>
  <c r="K9" i="11" s="1"/>
  <c r="L9" i="11" s="1"/>
  <c r="J11" i="12"/>
  <c r="K11" i="12" s="1"/>
  <c r="L11" i="12" s="1"/>
  <c r="J32" i="12"/>
  <c r="K32" i="12" s="1"/>
  <c r="L32" i="12" s="1"/>
  <c r="H357" i="13" s="1"/>
  <c r="J22" i="12"/>
  <c r="I24" i="12"/>
  <c r="J24" i="11"/>
  <c r="K24" i="11" s="1"/>
  <c r="L24" i="11" s="1"/>
  <c r="J28" i="12"/>
  <c r="I8" i="12"/>
  <c r="J8" i="11"/>
  <c r="K8" i="11" s="1"/>
  <c r="L8" i="11" s="1"/>
  <c r="I13" i="12"/>
  <c r="J13" i="11"/>
  <c r="K13" i="11" s="1"/>
  <c r="L13" i="11" s="1"/>
  <c r="J25" i="12"/>
  <c r="K25" i="12" s="1"/>
  <c r="L25" i="12" s="1"/>
  <c r="H307" i="13" s="1"/>
  <c r="I10" i="12"/>
  <c r="J10" i="11"/>
  <c r="K10" i="11" s="1"/>
  <c r="L10" i="11" s="1"/>
  <c r="K33" i="11"/>
  <c r="L33" i="11" s="1"/>
  <c r="J33" i="12"/>
  <c r="J26" i="12"/>
  <c r="K26" i="12" s="1"/>
  <c r="L26" i="12" s="1"/>
  <c r="J29" i="12"/>
  <c r="K29" i="12" s="1"/>
  <c r="L29" i="12" s="1"/>
  <c r="J7" i="9"/>
  <c r="J7" i="10" s="1"/>
  <c r="L7" i="9"/>
  <c r="K7" i="9"/>
  <c r="I7" i="11"/>
  <c r="I20" i="9"/>
  <c r="J93" i="2"/>
  <c r="H93" i="2"/>
  <c r="J14" i="12" l="1"/>
  <c r="K14" i="12" s="1"/>
  <c r="L14" i="12" s="1"/>
  <c r="K28" i="12"/>
  <c r="L28" i="12" s="1"/>
  <c r="K31" i="12"/>
  <c r="L31" i="12" s="1"/>
  <c r="K22" i="11"/>
  <c r="L22" i="11" s="1"/>
  <c r="K12" i="12"/>
  <c r="L12" i="12" s="1"/>
  <c r="G281" i="13"/>
  <c r="G282" i="13" s="1"/>
  <c r="J30" i="12"/>
  <c r="K30" i="12" s="1"/>
  <c r="L30" i="12" s="1"/>
  <c r="L21" i="11"/>
  <c r="L21" i="12" s="1"/>
  <c r="H281" i="13"/>
  <c r="H282" i="13" s="1"/>
  <c r="K7" i="10"/>
  <c r="L7" i="10" s="1"/>
  <c r="J13" i="12"/>
  <c r="K13" i="12" s="1"/>
  <c r="L13" i="12" s="1"/>
  <c r="J10" i="12"/>
  <c r="K10" i="12" s="1"/>
  <c r="L10" i="12" s="1"/>
  <c r="J8" i="12"/>
  <c r="K8" i="12" s="1"/>
  <c r="L8" i="12" s="1"/>
  <c r="J24" i="12"/>
  <c r="K24" i="12" s="1"/>
  <c r="L24" i="12" s="1"/>
  <c r="K33" i="12"/>
  <c r="L33" i="12" s="1"/>
  <c r="H364" i="13" s="1"/>
  <c r="J9" i="12"/>
  <c r="K9" i="12" s="1"/>
  <c r="L9" i="12" s="1"/>
  <c r="L20" i="9"/>
  <c r="K20" i="9"/>
  <c r="E274" i="13" s="1"/>
  <c r="J7" i="11"/>
  <c r="I7" i="12"/>
  <c r="I20" i="10"/>
  <c r="J20" i="9"/>
  <c r="E276" i="13" s="1"/>
  <c r="K22" i="12" l="1"/>
  <c r="L22" i="12" s="1"/>
  <c r="K7" i="11"/>
  <c r="L7" i="11" s="1"/>
  <c r="I281" i="13"/>
  <c r="E275" i="13"/>
  <c r="E277" i="13"/>
  <c r="J7" i="12"/>
  <c r="I20" i="11"/>
  <c r="I20" i="12" s="1"/>
  <c r="J20" i="10"/>
  <c r="H71" i="2"/>
  <c r="I71" i="2"/>
  <c r="H73" i="2"/>
  <c r="I73" i="2"/>
  <c r="H75" i="2"/>
  <c r="I75" i="2"/>
  <c r="H77" i="2"/>
  <c r="I77" i="2"/>
  <c r="H79" i="2"/>
  <c r="I79" i="2"/>
  <c r="H81" i="2"/>
  <c r="I81" i="2"/>
  <c r="H83" i="2"/>
  <c r="I83" i="2"/>
  <c r="H85" i="2"/>
  <c r="I85" i="2"/>
  <c r="H87" i="2"/>
  <c r="I87" i="2"/>
  <c r="R70" i="2"/>
  <c r="S70" i="2"/>
  <c r="J71" i="2"/>
  <c r="K71" i="2"/>
  <c r="L71" i="2"/>
  <c r="M71" i="2"/>
  <c r="N71" i="2"/>
  <c r="O71" i="2"/>
  <c r="P71" i="2"/>
  <c r="Q71" i="2"/>
  <c r="R72" i="2"/>
  <c r="S72" i="2"/>
  <c r="J73" i="2"/>
  <c r="K73" i="2"/>
  <c r="L73" i="2"/>
  <c r="M73" i="2"/>
  <c r="N73" i="2"/>
  <c r="O73" i="2"/>
  <c r="P73" i="2"/>
  <c r="Q73" i="2"/>
  <c r="R74" i="2"/>
  <c r="S74" i="2"/>
  <c r="J75" i="2"/>
  <c r="K75" i="2"/>
  <c r="L75" i="2"/>
  <c r="M75" i="2"/>
  <c r="N75" i="2"/>
  <c r="O75" i="2"/>
  <c r="P75" i="2"/>
  <c r="Q75" i="2"/>
  <c r="R76" i="2"/>
  <c r="S76" i="2"/>
  <c r="J77" i="2"/>
  <c r="K77" i="2"/>
  <c r="L77" i="2"/>
  <c r="M77" i="2"/>
  <c r="N77" i="2"/>
  <c r="O77" i="2"/>
  <c r="P77" i="2"/>
  <c r="Q77" i="2"/>
  <c r="R78" i="2"/>
  <c r="S78" i="2"/>
  <c r="J79" i="2"/>
  <c r="K79" i="2"/>
  <c r="L79" i="2"/>
  <c r="M79" i="2"/>
  <c r="N79" i="2"/>
  <c r="O79" i="2"/>
  <c r="P79" i="2"/>
  <c r="Q79" i="2"/>
  <c r="R80" i="2"/>
  <c r="S80" i="2"/>
  <c r="J81" i="2"/>
  <c r="K81" i="2"/>
  <c r="L81" i="2"/>
  <c r="M81" i="2"/>
  <c r="N81" i="2"/>
  <c r="O81" i="2"/>
  <c r="P81" i="2"/>
  <c r="Q81" i="2"/>
  <c r="R82" i="2"/>
  <c r="S82" i="2"/>
  <c r="J83" i="2"/>
  <c r="K83" i="2"/>
  <c r="L83" i="2"/>
  <c r="M83" i="2"/>
  <c r="N83" i="2"/>
  <c r="O83" i="2"/>
  <c r="P83" i="2"/>
  <c r="Q83" i="2"/>
  <c r="R84" i="2"/>
  <c r="S84" i="2"/>
  <c r="J85" i="2"/>
  <c r="K85" i="2"/>
  <c r="L85" i="2"/>
  <c r="M85" i="2"/>
  <c r="N85" i="2"/>
  <c r="O85" i="2"/>
  <c r="P85" i="2"/>
  <c r="Q85" i="2"/>
  <c r="R86" i="2"/>
  <c r="S86" i="2"/>
  <c r="J87" i="2"/>
  <c r="K87" i="2"/>
  <c r="L87" i="2"/>
  <c r="M87" i="2"/>
  <c r="N87" i="2"/>
  <c r="O87" i="2"/>
  <c r="P87" i="2"/>
  <c r="Q87" i="2"/>
  <c r="R88" i="2"/>
  <c r="S88" i="2"/>
  <c r="H89" i="2"/>
  <c r="I89" i="2"/>
  <c r="J89" i="2"/>
  <c r="K89" i="2"/>
  <c r="L89" i="2"/>
  <c r="M89" i="2"/>
  <c r="N89" i="2"/>
  <c r="O89" i="2"/>
  <c r="P89" i="2"/>
  <c r="Q89" i="2"/>
  <c r="H90" i="2"/>
  <c r="I90" i="2"/>
  <c r="J90" i="2"/>
  <c r="K90" i="2"/>
  <c r="L90" i="2"/>
  <c r="M90" i="2"/>
  <c r="N90" i="2"/>
  <c r="O90" i="2"/>
  <c r="P90" i="2"/>
  <c r="Q90" i="2"/>
  <c r="A162" i="13"/>
  <c r="D141" i="13"/>
  <c r="M7" i="1"/>
  <c r="H171" i="16"/>
  <c r="G171" i="16"/>
  <c r="F171" i="16"/>
  <c r="E171" i="16"/>
  <c r="D171" i="16"/>
  <c r="H169" i="16"/>
  <c r="G169" i="16"/>
  <c r="F169" i="16"/>
  <c r="E169" i="16"/>
  <c r="D169" i="16"/>
  <c r="H167" i="16"/>
  <c r="G167" i="16"/>
  <c r="F167" i="16"/>
  <c r="E167" i="16"/>
  <c r="D167" i="16"/>
  <c r="H165" i="16"/>
  <c r="G165" i="16"/>
  <c r="F165" i="16"/>
  <c r="E165" i="16"/>
  <c r="D165" i="16"/>
  <c r="H163" i="16"/>
  <c r="G163" i="16"/>
  <c r="F163" i="16"/>
  <c r="E163" i="16"/>
  <c r="D163" i="16"/>
  <c r="H161" i="16"/>
  <c r="G161" i="16"/>
  <c r="F161" i="16"/>
  <c r="E161" i="16"/>
  <c r="D161" i="16"/>
  <c r="H159" i="16"/>
  <c r="G159" i="16"/>
  <c r="F159" i="16"/>
  <c r="E159" i="16"/>
  <c r="D159" i="16"/>
  <c r="H157" i="16"/>
  <c r="G157" i="16"/>
  <c r="F157" i="16"/>
  <c r="E157" i="16"/>
  <c r="D157" i="16"/>
  <c r="H155" i="16"/>
  <c r="G155" i="16"/>
  <c r="F155" i="16"/>
  <c r="E155" i="16"/>
  <c r="D155" i="16"/>
  <c r="H153" i="16"/>
  <c r="G153" i="16"/>
  <c r="F153" i="16"/>
  <c r="E153" i="16"/>
  <c r="D153" i="16"/>
  <c r="H202" i="13"/>
  <c r="G202" i="13"/>
  <c r="F202" i="13"/>
  <c r="E202" i="13"/>
  <c r="D202" i="13"/>
  <c r="H200" i="13"/>
  <c r="G200" i="13"/>
  <c r="F200" i="13"/>
  <c r="E200" i="13"/>
  <c r="D200" i="13"/>
  <c r="H198" i="13"/>
  <c r="G198" i="13"/>
  <c r="F198" i="13"/>
  <c r="E198" i="13"/>
  <c r="D198" i="13"/>
  <c r="H196" i="13"/>
  <c r="G196" i="13"/>
  <c r="F196" i="13"/>
  <c r="E196" i="13"/>
  <c r="D196" i="13"/>
  <c r="H194" i="13"/>
  <c r="G194" i="13"/>
  <c r="F194" i="13"/>
  <c r="E194" i="13"/>
  <c r="D194" i="13"/>
  <c r="H192" i="13"/>
  <c r="G192" i="13"/>
  <c r="F192" i="13"/>
  <c r="E192" i="13"/>
  <c r="D192" i="13"/>
  <c r="H190" i="13"/>
  <c r="G190" i="13"/>
  <c r="F190" i="13"/>
  <c r="E190" i="13"/>
  <c r="D190" i="13"/>
  <c r="H188" i="13"/>
  <c r="G188" i="13"/>
  <c r="F188" i="13"/>
  <c r="E188" i="13"/>
  <c r="D188" i="13"/>
  <c r="H186" i="13"/>
  <c r="G186" i="13"/>
  <c r="F186" i="13"/>
  <c r="E186" i="13"/>
  <c r="D186" i="13"/>
  <c r="H184" i="13"/>
  <c r="G184" i="13"/>
  <c r="F184" i="13"/>
  <c r="E184" i="13"/>
  <c r="D184" i="13"/>
  <c r="K7" i="12" l="1"/>
  <c r="L7" i="12" s="1"/>
  <c r="K20" i="10"/>
  <c r="F276" i="13"/>
  <c r="R90" i="2"/>
  <c r="J20" i="11"/>
  <c r="R77" i="2"/>
  <c r="R71" i="2"/>
  <c r="R85" i="2"/>
  <c r="S90" i="2"/>
  <c r="R75" i="2"/>
  <c r="R73" i="2"/>
  <c r="R89" i="2"/>
  <c r="R87" i="2"/>
  <c r="R83" i="2"/>
  <c r="R81" i="2"/>
  <c r="R79" i="2"/>
  <c r="N91" i="2"/>
  <c r="J91" i="2"/>
  <c r="P91" i="2"/>
  <c r="L91" i="2"/>
  <c r="H91" i="2"/>
  <c r="I186" i="13"/>
  <c r="I188" i="13"/>
  <c r="I184" i="13"/>
  <c r="K20" i="11" l="1"/>
  <c r="G276" i="13"/>
  <c r="G277" i="13" s="1"/>
  <c r="F277" i="13"/>
  <c r="L20" i="10"/>
  <c r="F274" i="13"/>
  <c r="J20" i="12"/>
  <c r="R91" i="2"/>
  <c r="K20" i="12" l="1"/>
  <c r="H276" i="13"/>
  <c r="F275" i="13"/>
  <c r="L20" i="11"/>
  <c r="G274" i="13"/>
  <c r="G275" i="13" s="1"/>
  <c r="B25" i="24"/>
  <c r="AB13" i="23"/>
  <c r="AB14" i="23"/>
  <c r="AB15" i="23"/>
  <c r="AB16" i="23"/>
  <c r="AB17" i="23"/>
  <c r="AB18" i="23"/>
  <c r="AB19" i="23"/>
  <c r="AB20" i="23"/>
  <c r="AB21" i="23"/>
  <c r="AB22" i="23"/>
  <c r="AB23" i="23"/>
  <c r="AB24" i="23"/>
  <c r="AB25" i="23"/>
  <c r="AB26" i="23"/>
  <c r="AB12" i="23"/>
  <c r="AB5" i="23"/>
  <c r="AB6" i="23"/>
  <c r="AB7" i="23"/>
  <c r="AB8" i="23"/>
  <c r="AB9" i="23"/>
  <c r="AB10" i="23"/>
  <c r="AB11" i="23"/>
  <c r="AB4" i="23"/>
  <c r="O5" i="9"/>
  <c r="O5" i="10" s="1"/>
  <c r="O5" i="11" s="1"/>
  <c r="O5" i="12" s="1"/>
  <c r="AA21" i="1"/>
  <c r="AA22" i="1"/>
  <c r="AA23" i="1"/>
  <c r="AA24" i="1"/>
  <c r="AA25" i="1"/>
  <c r="AA26" i="1"/>
  <c r="AA27" i="1"/>
  <c r="AA28" i="1"/>
  <c r="AA29" i="1"/>
  <c r="AA30" i="1"/>
  <c r="AA31" i="1"/>
  <c r="AA32" i="1"/>
  <c r="AA33" i="1"/>
  <c r="AA34" i="1"/>
  <c r="AA20" i="1"/>
  <c r="Z8" i="1"/>
  <c r="AA8" i="1"/>
  <c r="Z9" i="1"/>
  <c r="AA9" i="1"/>
  <c r="Z10" i="1"/>
  <c r="AA10" i="1"/>
  <c r="Z11" i="1"/>
  <c r="AA11" i="1"/>
  <c r="Z12" i="1"/>
  <c r="AA12" i="1"/>
  <c r="Z13" i="1"/>
  <c r="AA13" i="1"/>
  <c r="Z14" i="1"/>
  <c r="AA14" i="1"/>
  <c r="Z7" i="1"/>
  <c r="H277" i="13" l="1"/>
  <c r="I276" i="13"/>
  <c r="L20" i="12"/>
  <c r="H274" i="13"/>
  <c r="H275" i="13" s="1"/>
  <c r="Z34" i="1"/>
  <c r="Z21" i="1"/>
  <c r="Z22" i="1"/>
  <c r="Z23" i="1"/>
  <c r="Z24" i="1"/>
  <c r="Z25" i="1"/>
  <c r="Z26" i="1"/>
  <c r="Z27" i="1"/>
  <c r="Z28" i="1"/>
  <c r="Z29" i="1"/>
  <c r="Z30" i="1"/>
  <c r="Z31" i="1"/>
  <c r="Z32" i="1"/>
  <c r="Z33" i="1"/>
  <c r="Z20" i="1"/>
  <c r="M21" i="1"/>
  <c r="M22" i="1"/>
  <c r="M23" i="1"/>
  <c r="M24" i="1"/>
  <c r="M25" i="1"/>
  <c r="M26" i="1"/>
  <c r="M27" i="1"/>
  <c r="M28" i="1"/>
  <c r="M29" i="1"/>
  <c r="M30" i="1"/>
  <c r="M31" i="1"/>
  <c r="M32" i="1"/>
  <c r="M33" i="1"/>
  <c r="M34" i="1"/>
  <c r="M20" i="1"/>
  <c r="M8" i="1"/>
  <c r="M9" i="1"/>
  <c r="D40" i="13" s="1"/>
  <c r="M10" i="1"/>
  <c r="D41" i="13" s="1"/>
  <c r="M11" i="1"/>
  <c r="D42" i="13" s="1"/>
  <c r="M12" i="1"/>
  <c r="M13" i="1"/>
  <c r="M14" i="1"/>
  <c r="D10" i="16" l="1"/>
  <c r="D9" i="16"/>
  <c r="B4" i="24"/>
  <c r="D11" i="16"/>
  <c r="I274" i="13"/>
  <c r="B49" i="1"/>
  <c r="B5" i="24" l="1"/>
  <c r="B6" i="24"/>
  <c r="H12" i="23"/>
  <c r="G12" i="23"/>
  <c r="F12" i="23"/>
  <c r="E12" i="23"/>
  <c r="D12" i="23"/>
  <c r="D11" i="23"/>
  <c r="I2" i="23"/>
  <c r="F2" i="23"/>
  <c r="C2" i="23"/>
  <c r="B20" i="9" l="1"/>
  <c r="C20" i="9"/>
  <c r="D20" i="9"/>
  <c r="E20" i="9"/>
  <c r="F20" i="9"/>
  <c r="G20" i="9"/>
  <c r="B21" i="9"/>
  <c r="C21" i="9"/>
  <c r="D21" i="9"/>
  <c r="E21" i="9"/>
  <c r="F21" i="9"/>
  <c r="G21" i="9"/>
  <c r="B22" i="9"/>
  <c r="C22" i="9"/>
  <c r="D22" i="9"/>
  <c r="E22" i="9"/>
  <c r="F22" i="9"/>
  <c r="G22" i="9"/>
  <c r="B23" i="9"/>
  <c r="C23" i="9"/>
  <c r="D23" i="9"/>
  <c r="E23" i="9"/>
  <c r="F23" i="9"/>
  <c r="G23" i="9"/>
  <c r="B24" i="9"/>
  <c r="C24" i="9"/>
  <c r="D24" i="9"/>
  <c r="E24" i="9"/>
  <c r="F24" i="9"/>
  <c r="G24" i="9"/>
  <c r="B25" i="9"/>
  <c r="C25" i="9"/>
  <c r="D25" i="9"/>
  <c r="E25" i="9"/>
  <c r="F25" i="9"/>
  <c r="G25" i="9"/>
  <c r="B26" i="9"/>
  <c r="C26" i="9"/>
  <c r="D26" i="9"/>
  <c r="E26" i="9"/>
  <c r="F26" i="9"/>
  <c r="G26" i="9"/>
  <c r="B27" i="9"/>
  <c r="C27" i="9"/>
  <c r="D27" i="9"/>
  <c r="E27" i="9"/>
  <c r="F27" i="9"/>
  <c r="G27" i="9"/>
  <c r="B28" i="9"/>
  <c r="C28" i="9"/>
  <c r="D28" i="9"/>
  <c r="E28" i="9"/>
  <c r="F28" i="9"/>
  <c r="G28" i="9"/>
  <c r="B29" i="9"/>
  <c r="C29" i="9"/>
  <c r="D29" i="9"/>
  <c r="E29" i="9"/>
  <c r="F29" i="9"/>
  <c r="G29" i="9"/>
  <c r="B30" i="9"/>
  <c r="C30" i="9"/>
  <c r="D30" i="9"/>
  <c r="E30" i="9"/>
  <c r="F30" i="9"/>
  <c r="G30" i="9"/>
  <c r="B31" i="9"/>
  <c r="C31" i="9"/>
  <c r="D31" i="9"/>
  <c r="E31" i="9"/>
  <c r="F31" i="9"/>
  <c r="G31" i="9"/>
  <c r="B32" i="9"/>
  <c r="C32" i="9"/>
  <c r="D32" i="9"/>
  <c r="E32" i="9"/>
  <c r="F32" i="9"/>
  <c r="G32" i="9"/>
  <c r="B33" i="9"/>
  <c r="C33" i="9"/>
  <c r="D33" i="9"/>
  <c r="E33" i="9"/>
  <c r="F33" i="9"/>
  <c r="G33" i="9"/>
  <c r="B34" i="9"/>
  <c r="C34" i="9"/>
  <c r="D34" i="9"/>
  <c r="E34" i="9"/>
  <c r="F34" i="9"/>
  <c r="G34" i="9"/>
  <c r="C2" i="22"/>
  <c r="I2" i="22"/>
  <c r="F2" i="22"/>
  <c r="E12" i="22"/>
  <c r="G12" i="22"/>
  <c r="H12" i="22"/>
  <c r="F12" i="22"/>
  <c r="D12" i="22"/>
  <c r="D11" i="22"/>
  <c r="R7" i="1"/>
  <c r="S7" i="1"/>
  <c r="T7" i="1"/>
  <c r="X7" i="1" l="1"/>
  <c r="W7" i="1"/>
  <c r="V7" i="1"/>
  <c r="Z28" i="9"/>
  <c r="B35" i="9"/>
  <c r="M25" i="9"/>
  <c r="M28" i="9"/>
  <c r="M32" i="9"/>
  <c r="M24" i="9"/>
  <c r="M20" i="9"/>
  <c r="Z32" i="9" l="1"/>
  <c r="AC17" i="23"/>
  <c r="AC15" i="23"/>
  <c r="M34" i="9"/>
  <c r="AC22" i="23"/>
  <c r="AC24" i="23"/>
  <c r="AC21" i="23"/>
  <c r="AC19" i="23"/>
  <c r="AC16" i="23"/>
  <c r="AC23" i="23"/>
  <c r="AC18" i="23"/>
  <c r="AC12" i="23"/>
  <c r="AC13" i="23"/>
  <c r="AC20" i="23"/>
  <c r="AC26" i="23"/>
  <c r="Z24" i="9"/>
  <c r="Z27" i="9"/>
  <c r="Z29" i="9"/>
  <c r="Z34" i="9"/>
  <c r="Z31" i="9"/>
  <c r="Z20" i="9"/>
  <c r="Z30" i="9"/>
  <c r="Z21" i="9"/>
  <c r="Z26" i="9"/>
  <c r="Z25" i="9"/>
  <c r="Z23" i="9"/>
  <c r="M29" i="9"/>
  <c r="M23" i="9"/>
  <c r="M31" i="9"/>
  <c r="M26" i="9"/>
  <c r="M33" i="9"/>
  <c r="M30" i="9"/>
  <c r="M27" i="9"/>
  <c r="M21" i="9"/>
  <c r="AC25" i="23" l="1"/>
  <c r="M22" i="9"/>
  <c r="AC14" i="23"/>
  <c r="Z22" i="9"/>
  <c r="Z33" i="9"/>
  <c r="H8" i="23"/>
  <c r="H19" i="23"/>
  <c r="G19" i="23"/>
  <c r="E19" i="23"/>
  <c r="F8" i="22" l="1"/>
  <c r="F8" i="23"/>
  <c r="G185" i="13"/>
  <c r="G154" i="16"/>
  <c r="D185" i="13"/>
  <c r="D154" i="16"/>
  <c r="H185" i="13"/>
  <c r="H154" i="16"/>
  <c r="E185" i="13"/>
  <c r="E154" i="16"/>
  <c r="F19" i="22"/>
  <c r="F19" i="23"/>
  <c r="F154" i="16"/>
  <c r="F185" i="13"/>
  <c r="G8" i="22"/>
  <c r="G8" i="23"/>
  <c r="G156" i="16"/>
  <c r="G187" i="13"/>
  <c r="E160" i="16"/>
  <c r="E191" i="13"/>
  <c r="G158" i="16"/>
  <c r="G189" i="13"/>
  <c r="E162" i="16"/>
  <c r="E193" i="13"/>
  <c r="E164" i="16"/>
  <c r="E195" i="13"/>
  <c r="G166" i="16"/>
  <c r="G197" i="13"/>
  <c r="E168" i="16"/>
  <c r="E199" i="13"/>
  <c r="E170" i="16"/>
  <c r="E201" i="13"/>
  <c r="E172" i="16"/>
  <c r="E203" i="13"/>
  <c r="G172" i="16"/>
  <c r="G203" i="13"/>
  <c r="H158" i="16"/>
  <c r="H189" i="13"/>
  <c r="F160" i="16"/>
  <c r="F191" i="13"/>
  <c r="H160" i="16"/>
  <c r="H191" i="13"/>
  <c r="F193" i="13"/>
  <c r="F162" i="16"/>
  <c r="D164" i="16"/>
  <c r="D195" i="13"/>
  <c r="H164" i="16"/>
  <c r="H195" i="13"/>
  <c r="F166" i="16"/>
  <c r="F197" i="13"/>
  <c r="H166" i="16"/>
  <c r="H197" i="13"/>
  <c r="F168" i="16"/>
  <c r="F199" i="13"/>
  <c r="H168" i="16"/>
  <c r="H199" i="13"/>
  <c r="D170" i="16"/>
  <c r="D201" i="13"/>
  <c r="F201" i="13"/>
  <c r="F170" i="16"/>
  <c r="H170" i="16"/>
  <c r="H201" i="13"/>
  <c r="D172" i="16"/>
  <c r="D203" i="13"/>
  <c r="F172" i="16"/>
  <c r="F203" i="13"/>
  <c r="H172" i="16"/>
  <c r="H203" i="13"/>
  <c r="E187" i="13"/>
  <c r="E156" i="16"/>
  <c r="E158" i="16"/>
  <c r="E189" i="13"/>
  <c r="G160" i="16"/>
  <c r="G191" i="13"/>
  <c r="G193" i="13"/>
  <c r="G162" i="16"/>
  <c r="G164" i="16"/>
  <c r="G195" i="13"/>
  <c r="E197" i="13"/>
  <c r="E166" i="16"/>
  <c r="G168" i="16"/>
  <c r="G199" i="13"/>
  <c r="G201" i="13"/>
  <c r="G170" i="16"/>
  <c r="D156" i="16"/>
  <c r="D187" i="13"/>
  <c r="F156" i="16"/>
  <c r="F187" i="13"/>
  <c r="H156" i="16"/>
  <c r="H187" i="13"/>
  <c r="D158" i="16"/>
  <c r="D189" i="13"/>
  <c r="F158" i="16"/>
  <c r="F189" i="13"/>
  <c r="D191" i="13"/>
  <c r="D160" i="16"/>
  <c r="D162" i="16"/>
  <c r="D193" i="13"/>
  <c r="H162" i="16"/>
  <c r="H193" i="13"/>
  <c r="F164" i="16"/>
  <c r="F195" i="13"/>
  <c r="D166" i="16"/>
  <c r="D197" i="13"/>
  <c r="D168" i="16"/>
  <c r="D199" i="13"/>
  <c r="D8" i="22"/>
  <c r="D8" i="23"/>
  <c r="D19" i="22"/>
  <c r="D19" i="23"/>
  <c r="E8" i="22"/>
  <c r="E8" i="23"/>
  <c r="J38" i="2"/>
  <c r="N38" i="2"/>
  <c r="H19" i="22"/>
  <c r="L38" i="2"/>
  <c r="H8" i="22"/>
  <c r="E19" i="22"/>
  <c r="G19" i="22"/>
  <c r="H38" i="2"/>
  <c r="P38" i="2"/>
  <c r="I8" i="23" l="1"/>
  <c r="I8" i="22"/>
  <c r="I19" i="23"/>
  <c r="I185" i="13"/>
  <c r="I187" i="13"/>
  <c r="I19" i="22"/>
  <c r="A74" i="17"/>
  <c r="B74" i="17"/>
  <c r="A75" i="17"/>
  <c r="B75" i="17"/>
  <c r="A73" i="17"/>
  <c r="B73" i="17"/>
  <c r="B72" i="17"/>
  <c r="A72" i="17"/>
  <c r="B39" i="17" l="1"/>
  <c r="B40" i="17"/>
  <c r="F126" i="16"/>
  <c r="G126" i="16"/>
  <c r="H126" i="16"/>
  <c r="F127" i="16"/>
  <c r="G127" i="16"/>
  <c r="H127" i="16"/>
  <c r="E126" i="16"/>
  <c r="E127" i="16"/>
  <c r="D126" i="16"/>
  <c r="D127" i="16"/>
  <c r="A93" i="16"/>
  <c r="A92" i="16"/>
  <c r="D157" i="13"/>
  <c r="B36" i="24" s="1"/>
  <c r="E157" i="13"/>
  <c r="C36" i="24" s="1"/>
  <c r="F157" i="13"/>
  <c r="D36" i="24" s="1"/>
  <c r="G157" i="13"/>
  <c r="E36" i="24" s="1"/>
  <c r="H157" i="13"/>
  <c r="F36" i="24" s="1"/>
  <c r="D158" i="13"/>
  <c r="B37" i="24" s="1"/>
  <c r="E158" i="13"/>
  <c r="C37" i="24" s="1"/>
  <c r="F158" i="13"/>
  <c r="D37" i="24" s="1"/>
  <c r="G158" i="13"/>
  <c r="E37" i="24" s="1"/>
  <c r="H158" i="13"/>
  <c r="F37" i="24" s="1"/>
  <c r="A123" i="13"/>
  <c r="A124" i="13"/>
  <c r="D114" i="13"/>
  <c r="B17" i="24" s="1"/>
  <c r="D113" i="13"/>
  <c r="B16" i="24" s="1"/>
  <c r="I158" i="13" l="1"/>
  <c r="G37" i="24" s="1"/>
  <c r="I157" i="13"/>
  <c r="G36" i="24" s="1"/>
  <c r="D93" i="16"/>
  <c r="I127" i="16"/>
  <c r="I126" i="16"/>
  <c r="R43" i="2"/>
  <c r="R42" i="2"/>
  <c r="A161" i="13" l="1"/>
  <c r="A160" i="13"/>
  <c r="A159" i="13"/>
  <c r="F113" i="13"/>
  <c r="D16" i="24" s="1"/>
  <c r="E113" i="13"/>
  <c r="C16" i="24" s="1"/>
  <c r="E16" i="24" l="1"/>
  <c r="E114" i="13"/>
  <c r="C17" i="24" s="1"/>
  <c r="B37" i="17"/>
  <c r="B38" i="17"/>
  <c r="B34" i="17"/>
  <c r="B35" i="17"/>
  <c r="B36" i="17"/>
  <c r="B31" i="17"/>
  <c r="B24" i="17"/>
  <c r="F93" i="16" l="1"/>
  <c r="F114" i="13"/>
  <c r="D17" i="24" s="1"/>
  <c r="E93" i="16"/>
  <c r="I82" i="16"/>
  <c r="A130" i="16"/>
  <c r="A131" i="16"/>
  <c r="H129" i="16"/>
  <c r="G129" i="16"/>
  <c r="F129" i="16"/>
  <c r="D129" i="16"/>
  <c r="H128" i="16"/>
  <c r="G128" i="16"/>
  <c r="F128" i="16"/>
  <c r="E128" i="16"/>
  <c r="D128" i="16"/>
  <c r="A129" i="16"/>
  <c r="A128" i="16"/>
  <c r="H160" i="13"/>
  <c r="F39" i="24" s="1"/>
  <c r="G160" i="13"/>
  <c r="E39" i="24" s="1"/>
  <c r="F160" i="13"/>
  <c r="D39" i="24" s="1"/>
  <c r="D160" i="13"/>
  <c r="B39" i="24" s="1"/>
  <c r="H159" i="13"/>
  <c r="F38" i="24" s="1"/>
  <c r="G159" i="13"/>
  <c r="E38" i="24" s="1"/>
  <c r="F159" i="13"/>
  <c r="D38" i="24" s="1"/>
  <c r="E159" i="13"/>
  <c r="C38" i="24" s="1"/>
  <c r="D159" i="13"/>
  <c r="B38" i="24" s="1"/>
  <c r="R44" i="2"/>
  <c r="I113" i="13" l="1"/>
  <c r="G16" i="24" s="1"/>
  <c r="F16" i="24"/>
  <c r="E17" i="24"/>
  <c r="I83" i="16"/>
  <c r="I159" i="13"/>
  <c r="G38" i="24" s="1"/>
  <c r="I128" i="16"/>
  <c r="B61" i="2"/>
  <c r="B60" i="2"/>
  <c r="B59" i="2"/>
  <c r="B58" i="2"/>
  <c r="F11" i="23" l="1"/>
  <c r="F11" i="22"/>
  <c r="G11" i="23"/>
  <c r="G11" i="22"/>
  <c r="H11" i="23"/>
  <c r="H11" i="22"/>
  <c r="E11" i="23"/>
  <c r="E11" i="22"/>
  <c r="I124" i="13"/>
  <c r="H25" i="18"/>
  <c r="H6" i="18"/>
  <c r="H7" i="18"/>
  <c r="H8" i="18"/>
  <c r="B42" i="18"/>
  <c r="B43" i="18"/>
  <c r="B44" i="18"/>
  <c r="B41" i="18"/>
  <c r="E12" i="18"/>
  <c r="G12" i="18"/>
  <c r="F12" i="18"/>
  <c r="D12" i="18"/>
  <c r="B29" i="18"/>
  <c r="B30" i="18"/>
  <c r="B31" i="18"/>
  <c r="B28" i="18"/>
  <c r="E23" i="18"/>
  <c r="F23" i="18"/>
  <c r="G23" i="18"/>
  <c r="E9" i="18"/>
  <c r="D9" i="18"/>
  <c r="H29" i="18"/>
  <c r="H30" i="18"/>
  <c r="H31" i="18"/>
  <c r="H28" i="18"/>
  <c r="F32" i="18"/>
  <c r="G32" i="18"/>
  <c r="E32" i="18"/>
  <c r="F45" i="18"/>
  <c r="G45" i="18"/>
  <c r="H45" i="18"/>
  <c r="E45" i="18"/>
  <c r="H32" i="18" l="1"/>
  <c r="I114" i="13"/>
  <c r="G17" i="24" s="1"/>
  <c r="F17" i="24"/>
  <c r="I93" i="16"/>
  <c r="A122" i="13"/>
  <c r="A91" i="16"/>
  <c r="A15" i="17" l="1"/>
  <c r="A16" i="17"/>
  <c r="A17" i="17"/>
  <c r="A18" i="17"/>
  <c r="A19" i="17"/>
  <c r="A20" i="17"/>
  <c r="A21" i="17"/>
  <c r="A22" i="17"/>
  <c r="A23" i="17"/>
  <c r="A24" i="17"/>
  <c r="A25" i="17"/>
  <c r="A26" i="17"/>
  <c r="A27" i="17"/>
  <c r="A28" i="17"/>
  <c r="A14" i="17"/>
  <c r="A5" i="17"/>
  <c r="A6" i="17"/>
  <c r="A7" i="17"/>
  <c r="A8" i="17"/>
  <c r="A9" i="17"/>
  <c r="A10" i="17"/>
  <c r="A11" i="17"/>
  <c r="A4" i="17"/>
  <c r="B81" i="17"/>
  <c r="B82" i="17"/>
  <c r="B83" i="17"/>
  <c r="B84" i="17"/>
  <c r="B80" i="17"/>
  <c r="A81" i="17"/>
  <c r="A82" i="17"/>
  <c r="A83" i="17"/>
  <c r="A84" i="17"/>
  <c r="A80" i="17"/>
  <c r="A79" i="17"/>
  <c r="B65" i="17"/>
  <c r="B66" i="17"/>
  <c r="B67" i="17"/>
  <c r="B68" i="17"/>
  <c r="B69" i="17"/>
  <c r="B70" i="17"/>
  <c r="B71" i="17"/>
  <c r="B76" i="17"/>
  <c r="B77" i="17"/>
  <c r="B64" i="17"/>
  <c r="A65" i="17"/>
  <c r="A66" i="17"/>
  <c r="A67" i="17"/>
  <c r="A68" i="17"/>
  <c r="A69" i="17"/>
  <c r="A70" i="17"/>
  <c r="A71" i="17"/>
  <c r="A76" i="17"/>
  <c r="A77" i="17"/>
  <c r="A64" i="17"/>
  <c r="A63" i="17"/>
  <c r="B61" i="17"/>
  <c r="B60" i="17"/>
  <c r="B59" i="17"/>
  <c r="B58" i="17"/>
  <c r="A59" i="17"/>
  <c r="A60" i="17"/>
  <c r="A61" i="17"/>
  <c r="A58" i="17"/>
  <c r="A55" i="17"/>
  <c r="A54" i="17"/>
  <c r="A44" i="17"/>
  <c r="A45" i="17"/>
  <c r="A46" i="17"/>
  <c r="A47" i="17"/>
  <c r="A48" i="17"/>
  <c r="A49" i="17"/>
  <c r="A50" i="17"/>
  <c r="A43" i="17"/>
  <c r="A57" i="17"/>
  <c r="B55" i="17"/>
  <c r="B54" i="17"/>
  <c r="A53" i="17"/>
  <c r="B44" i="17"/>
  <c r="B45" i="17"/>
  <c r="B46" i="17"/>
  <c r="B47" i="17"/>
  <c r="B48" i="17"/>
  <c r="B49" i="17"/>
  <c r="B50" i="17"/>
  <c r="B43" i="17"/>
  <c r="A42" i="17"/>
  <c r="A30" i="17"/>
  <c r="B15" i="17"/>
  <c r="B16" i="17"/>
  <c r="B17" i="17"/>
  <c r="B18" i="17"/>
  <c r="B19" i="17"/>
  <c r="B20" i="17"/>
  <c r="B21" i="17"/>
  <c r="B22" i="17"/>
  <c r="B23" i="17"/>
  <c r="B25" i="17"/>
  <c r="B26" i="17"/>
  <c r="B27" i="17"/>
  <c r="B28" i="17"/>
  <c r="B14" i="17"/>
  <c r="A13" i="17"/>
  <c r="B5" i="17"/>
  <c r="B6" i="17"/>
  <c r="B7" i="17"/>
  <c r="B8" i="17"/>
  <c r="B9" i="17"/>
  <c r="B10" i="17"/>
  <c r="B11" i="17"/>
  <c r="B4" i="17"/>
  <c r="A3" i="17"/>
  <c r="A171" i="16"/>
  <c r="A169" i="16"/>
  <c r="A167" i="16"/>
  <c r="A165" i="16"/>
  <c r="A163" i="16"/>
  <c r="A161" i="16"/>
  <c r="A159" i="16"/>
  <c r="A157" i="16"/>
  <c r="A155" i="16"/>
  <c r="A153" i="16"/>
  <c r="A202" i="13"/>
  <c r="A200" i="13"/>
  <c r="A198" i="13"/>
  <c r="A196" i="13"/>
  <c r="A194" i="13"/>
  <c r="A192" i="13"/>
  <c r="A190" i="13"/>
  <c r="A188" i="13"/>
  <c r="A186" i="13"/>
  <c r="A184" i="13"/>
  <c r="A371" i="13"/>
  <c r="A364" i="13"/>
  <c r="A357" i="13"/>
  <c r="A350" i="13"/>
  <c r="D340" i="13"/>
  <c r="D341" i="13" s="1"/>
  <c r="A343" i="13"/>
  <c r="A336" i="13"/>
  <c r="A329" i="13"/>
  <c r="A321" i="13"/>
  <c r="A314" i="13"/>
  <c r="A307" i="13"/>
  <c r="A300" i="13"/>
  <c r="A293" i="13"/>
  <c r="A286" i="13"/>
  <c r="A279" i="13"/>
  <c r="A272" i="13"/>
  <c r="A97" i="13"/>
  <c r="A90" i="13"/>
  <c r="A83" i="13"/>
  <c r="A76" i="13"/>
  <c r="A69" i="13"/>
  <c r="A62" i="13"/>
  <c r="A55" i="13"/>
  <c r="A48" i="13"/>
  <c r="A96" i="13"/>
  <c r="A277" i="16"/>
  <c r="A270" i="16"/>
  <c r="A263" i="16"/>
  <c r="A256" i="16"/>
  <c r="A249" i="16"/>
  <c r="A242" i="16"/>
  <c r="A235" i="16"/>
  <c r="A227" i="16"/>
  <c r="A220" i="16"/>
  <c r="A213" i="16"/>
  <c r="A206" i="16"/>
  <c r="A199" i="16"/>
  <c r="A192" i="16"/>
  <c r="A185" i="16"/>
  <c r="A178" i="16"/>
  <c r="A66" i="16"/>
  <c r="A59" i="16"/>
  <c r="A52" i="16"/>
  <c r="A45" i="16"/>
  <c r="A38" i="16"/>
  <c r="A31" i="16"/>
  <c r="A24" i="16"/>
  <c r="A17" i="16"/>
  <c r="A65" i="16"/>
  <c r="A328" i="13"/>
  <c r="A234" i="16"/>
  <c r="D281" i="16"/>
  <c r="D279" i="16"/>
  <c r="D280" i="16" s="1"/>
  <c r="D277" i="16"/>
  <c r="A276" i="16"/>
  <c r="D274" i="16"/>
  <c r="D275" i="16" s="1"/>
  <c r="D272" i="16"/>
  <c r="D270" i="16"/>
  <c r="D271" i="16" s="1"/>
  <c r="A269" i="16"/>
  <c r="D267" i="16"/>
  <c r="D268" i="16" s="1"/>
  <c r="D265" i="16"/>
  <c r="D266" i="16" s="1"/>
  <c r="D263" i="16"/>
  <c r="D264" i="16" s="1"/>
  <c r="A262" i="16"/>
  <c r="D260" i="16"/>
  <c r="D261" i="16" s="1"/>
  <c r="D258" i="16"/>
  <c r="D259" i="16" s="1"/>
  <c r="D256" i="16"/>
  <c r="A255" i="16"/>
  <c r="D253" i="16"/>
  <c r="D254" i="16" s="1"/>
  <c r="D251" i="16"/>
  <c r="D252" i="16" s="1"/>
  <c r="D249" i="16"/>
  <c r="A248" i="16"/>
  <c r="D244" i="16"/>
  <c r="D245" i="16" s="1"/>
  <c r="D242" i="16"/>
  <c r="D243" i="16" s="1"/>
  <c r="A241" i="16"/>
  <c r="D239" i="16"/>
  <c r="D240" i="16" s="1"/>
  <c r="D237" i="16"/>
  <c r="D235" i="16"/>
  <c r="D236" i="16" s="1"/>
  <c r="D231" i="16"/>
  <c r="D232" i="16" s="1"/>
  <c r="D229" i="16"/>
  <c r="D230" i="16" s="1"/>
  <c r="D227" i="16"/>
  <c r="A226" i="16"/>
  <c r="D224" i="16"/>
  <c r="D225" i="16" s="1"/>
  <c r="D222" i="16"/>
  <c r="D223" i="16" s="1"/>
  <c r="D220" i="16"/>
  <c r="D221" i="16" s="1"/>
  <c r="A219" i="16"/>
  <c r="D217" i="16"/>
  <c r="D218" i="16" s="1"/>
  <c r="D215" i="16"/>
  <c r="D216" i="16" s="1"/>
  <c r="D213" i="16"/>
  <c r="D214" i="16" s="1"/>
  <c r="A212" i="16"/>
  <c r="D210" i="16"/>
  <c r="D211" i="16" s="1"/>
  <c r="D208" i="16"/>
  <c r="D209" i="16" s="1"/>
  <c r="D206" i="16"/>
  <c r="D207" i="16" s="1"/>
  <c r="A205" i="16"/>
  <c r="D203" i="16"/>
  <c r="D201" i="16"/>
  <c r="D202" i="16" s="1"/>
  <c r="D199" i="16"/>
  <c r="A198" i="16"/>
  <c r="D196" i="16"/>
  <c r="D197" i="16" s="1"/>
  <c r="D194" i="16"/>
  <c r="D192" i="16"/>
  <c r="D193" i="16" s="1"/>
  <c r="A191" i="16"/>
  <c r="D189" i="16"/>
  <c r="D190" i="16" s="1"/>
  <c r="D187" i="16"/>
  <c r="D188" i="16" s="1"/>
  <c r="D185" i="16"/>
  <c r="D186" i="16" s="1"/>
  <c r="A184" i="16"/>
  <c r="D182" i="16"/>
  <c r="D183" i="16" s="1"/>
  <c r="D180" i="16"/>
  <c r="D181" i="16" s="1"/>
  <c r="D178" i="16"/>
  <c r="D179" i="16" s="1"/>
  <c r="A177" i="16"/>
  <c r="I148" i="16"/>
  <c r="A139" i="16"/>
  <c r="H131" i="16"/>
  <c r="G131" i="16"/>
  <c r="F131" i="16"/>
  <c r="E131" i="16"/>
  <c r="D131" i="16"/>
  <c r="H130" i="16"/>
  <c r="G130" i="16"/>
  <c r="F130" i="16"/>
  <c r="E130" i="16"/>
  <c r="D130" i="16"/>
  <c r="H125" i="16"/>
  <c r="G125" i="16"/>
  <c r="F125" i="16"/>
  <c r="H124" i="16"/>
  <c r="G124" i="16"/>
  <c r="F124" i="16"/>
  <c r="E124" i="16"/>
  <c r="D124" i="16"/>
  <c r="H123" i="16"/>
  <c r="G123" i="16"/>
  <c r="F123" i="16"/>
  <c r="E123" i="16"/>
  <c r="D123" i="16"/>
  <c r="H122" i="16"/>
  <c r="G122" i="16"/>
  <c r="F122" i="16"/>
  <c r="E122" i="16"/>
  <c r="D122" i="16"/>
  <c r="H120" i="16"/>
  <c r="G120" i="16"/>
  <c r="F120" i="16"/>
  <c r="E120" i="16"/>
  <c r="D120" i="16"/>
  <c r="H116" i="16"/>
  <c r="G116" i="16"/>
  <c r="F116" i="16"/>
  <c r="E116" i="16"/>
  <c r="D116" i="16"/>
  <c r="H115" i="16"/>
  <c r="G115" i="16"/>
  <c r="F115" i="16"/>
  <c r="E115" i="16"/>
  <c r="D115" i="16"/>
  <c r="H111" i="16"/>
  <c r="G111" i="16"/>
  <c r="F111" i="16"/>
  <c r="E111" i="16"/>
  <c r="D111" i="16"/>
  <c r="H110" i="16"/>
  <c r="G110" i="16"/>
  <c r="F110" i="16"/>
  <c r="E110" i="16"/>
  <c r="D110" i="16"/>
  <c r="H109" i="16"/>
  <c r="G109" i="16"/>
  <c r="F109" i="16"/>
  <c r="E109" i="16"/>
  <c r="D109" i="16"/>
  <c r="H108" i="16"/>
  <c r="G108" i="16"/>
  <c r="F108" i="16"/>
  <c r="E108" i="16"/>
  <c r="D108" i="16"/>
  <c r="H104" i="16"/>
  <c r="G104" i="16"/>
  <c r="F104" i="16"/>
  <c r="E104" i="16"/>
  <c r="D104" i="16"/>
  <c r="H103" i="16"/>
  <c r="G103" i="16"/>
  <c r="F103" i="16"/>
  <c r="E103" i="16"/>
  <c r="D103" i="16"/>
  <c r="A90" i="16"/>
  <c r="A89" i="16"/>
  <c r="D70" i="16"/>
  <c r="D68" i="16"/>
  <c r="D69" i="16" s="1"/>
  <c r="D66" i="16"/>
  <c r="D63" i="16"/>
  <c r="D64" i="16" s="1"/>
  <c r="D61" i="16"/>
  <c r="D59" i="16"/>
  <c r="D60" i="16" s="1"/>
  <c r="A58" i="16"/>
  <c r="D56" i="16"/>
  <c r="D57" i="16" s="1"/>
  <c r="D54" i="16"/>
  <c r="D55" i="16" s="1"/>
  <c r="D52" i="16"/>
  <c r="D53" i="16" s="1"/>
  <c r="A51" i="16"/>
  <c r="D49" i="16"/>
  <c r="D47" i="16"/>
  <c r="D48" i="16" s="1"/>
  <c r="D45" i="16"/>
  <c r="A44" i="16"/>
  <c r="D42" i="16"/>
  <c r="D43" i="16" s="1"/>
  <c r="D40" i="16"/>
  <c r="D41" i="16" s="1"/>
  <c r="D38" i="16"/>
  <c r="D39" i="16" s="1"/>
  <c r="A37" i="16"/>
  <c r="D35" i="16"/>
  <c r="D33" i="16"/>
  <c r="D34" i="16" s="1"/>
  <c r="D31" i="16"/>
  <c r="A30" i="16"/>
  <c r="D28" i="16"/>
  <c r="D29" i="16" s="1"/>
  <c r="D26" i="16"/>
  <c r="D27" i="16" s="1"/>
  <c r="D24" i="16"/>
  <c r="D25" i="16" s="1"/>
  <c r="A23" i="16"/>
  <c r="D21" i="16"/>
  <c r="D19" i="16"/>
  <c r="D20" i="16" s="1"/>
  <c r="D17" i="16"/>
  <c r="A16" i="16"/>
  <c r="A5" i="16"/>
  <c r="I2" i="16"/>
  <c r="F2" i="16"/>
  <c r="C2" i="16"/>
  <c r="A208" i="13"/>
  <c r="A212" i="13"/>
  <c r="A216" i="13"/>
  <c r="A220" i="13"/>
  <c r="A224" i="13"/>
  <c r="A228" i="13"/>
  <c r="A232" i="13"/>
  <c r="A236" i="13"/>
  <c r="A240" i="13"/>
  <c r="A244" i="13"/>
  <c r="A248" i="13"/>
  <c r="A252" i="13"/>
  <c r="A256" i="13"/>
  <c r="A260" i="13"/>
  <c r="A264" i="13"/>
  <c r="A342" i="13"/>
  <c r="D375" i="13"/>
  <c r="D376" i="13" s="1"/>
  <c r="D373" i="13"/>
  <c r="D374" i="13" s="1"/>
  <c r="D371" i="13"/>
  <c r="D372" i="13" s="1"/>
  <c r="D368" i="13"/>
  <c r="D369" i="13" s="1"/>
  <c r="D366" i="13"/>
  <c r="D367" i="13" s="1"/>
  <c r="D364" i="13"/>
  <c r="D365" i="13" s="1"/>
  <c r="D361" i="13"/>
  <c r="D362" i="13" s="1"/>
  <c r="D359" i="13"/>
  <c r="D360" i="13" s="1"/>
  <c r="D357" i="13"/>
  <c r="D358" i="13" s="1"/>
  <c r="D354" i="13"/>
  <c r="D355" i="13" s="1"/>
  <c r="D352" i="13"/>
  <c r="D353" i="13" s="1"/>
  <c r="D350" i="13"/>
  <c r="D351" i="13" s="1"/>
  <c r="D347" i="13"/>
  <c r="D348" i="13" s="1"/>
  <c r="D345" i="13"/>
  <c r="D346" i="13" s="1"/>
  <c r="D343" i="13"/>
  <c r="D344" i="13" s="1"/>
  <c r="D338" i="13"/>
  <c r="D339" i="13" s="1"/>
  <c r="D336" i="13"/>
  <c r="D337" i="13" s="1"/>
  <c r="D333" i="13"/>
  <c r="D334" i="13" s="1"/>
  <c r="D331" i="13"/>
  <c r="D332" i="13" s="1"/>
  <c r="D329" i="13"/>
  <c r="D330" i="13" s="1"/>
  <c r="A370" i="13"/>
  <c r="A363" i="13"/>
  <c r="A356" i="13"/>
  <c r="A349" i="13"/>
  <c r="A335" i="13"/>
  <c r="A320" i="13"/>
  <c r="A313" i="13"/>
  <c r="A306" i="13"/>
  <c r="A299" i="13"/>
  <c r="A292" i="13"/>
  <c r="A285" i="13"/>
  <c r="A278" i="13"/>
  <c r="D325" i="13"/>
  <c r="D326" i="13" s="1"/>
  <c r="D323" i="13"/>
  <c r="D324" i="13" s="1"/>
  <c r="D318" i="13"/>
  <c r="D319" i="13" s="1"/>
  <c r="D316" i="13"/>
  <c r="D317" i="13" s="1"/>
  <c r="D311" i="13"/>
  <c r="D312" i="13" s="1"/>
  <c r="D309" i="13"/>
  <c r="D310" i="13" s="1"/>
  <c r="D304" i="13"/>
  <c r="D305" i="13" s="1"/>
  <c r="D302" i="13"/>
  <c r="D303" i="13" s="1"/>
  <c r="D297" i="13"/>
  <c r="D298" i="13" s="1"/>
  <c r="D295" i="13"/>
  <c r="D296" i="13" s="1"/>
  <c r="D290" i="13"/>
  <c r="D291" i="13" s="1"/>
  <c r="D288" i="13"/>
  <c r="D289" i="13" s="1"/>
  <c r="D321" i="13"/>
  <c r="D322" i="13" s="1"/>
  <c r="D314" i="13"/>
  <c r="D315" i="13" s="1"/>
  <c r="D307" i="13"/>
  <c r="D308" i="13" s="1"/>
  <c r="D300" i="13"/>
  <c r="D301" i="13" s="1"/>
  <c r="D293" i="13"/>
  <c r="D294" i="13" s="1"/>
  <c r="D286" i="13"/>
  <c r="D287" i="13" s="1"/>
  <c r="D279" i="13"/>
  <c r="D280" i="13" s="1"/>
  <c r="D272" i="13"/>
  <c r="D273" i="13" s="1"/>
  <c r="B35" i="1"/>
  <c r="B15" i="1"/>
  <c r="B16" i="1" s="1"/>
  <c r="G34" i="10"/>
  <c r="G34" i="11" s="1"/>
  <c r="G34" i="12" s="1"/>
  <c r="F34" i="10"/>
  <c r="F34" i="11" s="1"/>
  <c r="F34" i="12" s="1"/>
  <c r="C34" i="10"/>
  <c r="C34" i="11" s="1"/>
  <c r="C34" i="12" s="1"/>
  <c r="D33" i="10"/>
  <c r="D33" i="11" s="1"/>
  <c r="D33" i="12" s="1"/>
  <c r="G32" i="10"/>
  <c r="G32" i="11" s="1"/>
  <c r="G32" i="12" s="1"/>
  <c r="F32" i="10"/>
  <c r="F32" i="11" s="1"/>
  <c r="F32" i="12" s="1"/>
  <c r="B32" i="10"/>
  <c r="B32" i="11" s="1"/>
  <c r="B32" i="12" s="1"/>
  <c r="E31" i="10"/>
  <c r="E31" i="11" s="1"/>
  <c r="E31" i="12" s="1"/>
  <c r="G30" i="10"/>
  <c r="G30" i="11" s="1"/>
  <c r="G30" i="12" s="1"/>
  <c r="F30" i="10"/>
  <c r="F30" i="11" s="1"/>
  <c r="F30" i="12" s="1"/>
  <c r="C30" i="10"/>
  <c r="C30" i="11" s="1"/>
  <c r="C30" i="12" s="1"/>
  <c r="D29" i="10"/>
  <c r="D29" i="11" s="1"/>
  <c r="D29" i="12" s="1"/>
  <c r="G28" i="10"/>
  <c r="G28" i="11" s="1"/>
  <c r="G28" i="12" s="1"/>
  <c r="F28" i="10"/>
  <c r="F28" i="11" s="1"/>
  <c r="F28" i="12" s="1"/>
  <c r="B28" i="10"/>
  <c r="B28" i="11" s="1"/>
  <c r="B28" i="12" s="1"/>
  <c r="E27" i="10"/>
  <c r="E27" i="11" s="1"/>
  <c r="E27" i="12" s="1"/>
  <c r="G26" i="10"/>
  <c r="G26" i="11" s="1"/>
  <c r="G26" i="12" s="1"/>
  <c r="F26" i="10"/>
  <c r="F26" i="11" s="1"/>
  <c r="F26" i="12" s="1"/>
  <c r="C26" i="10"/>
  <c r="C26" i="11" s="1"/>
  <c r="C26" i="12" s="1"/>
  <c r="D25" i="10"/>
  <c r="D25" i="11" s="1"/>
  <c r="D25" i="12" s="1"/>
  <c r="G24" i="10"/>
  <c r="G24" i="11" s="1"/>
  <c r="G24" i="12" s="1"/>
  <c r="F24" i="10"/>
  <c r="F24" i="11" s="1"/>
  <c r="F24" i="12" s="1"/>
  <c r="B24" i="10"/>
  <c r="B24" i="11" s="1"/>
  <c r="B24" i="12" s="1"/>
  <c r="E23" i="10"/>
  <c r="E23" i="11" s="1"/>
  <c r="E23" i="12" s="1"/>
  <c r="G22" i="10"/>
  <c r="G22" i="11" s="1"/>
  <c r="G22" i="12" s="1"/>
  <c r="F22" i="10"/>
  <c r="F22" i="11" s="1"/>
  <c r="F22" i="12" s="1"/>
  <c r="C22" i="10"/>
  <c r="C22" i="11" s="1"/>
  <c r="C22" i="12" s="1"/>
  <c r="D21" i="10"/>
  <c r="D21" i="11" s="1"/>
  <c r="D21" i="12" s="1"/>
  <c r="G20" i="10"/>
  <c r="G20" i="11" s="1"/>
  <c r="G20" i="12" s="1"/>
  <c r="F20" i="10"/>
  <c r="F20" i="11" s="1"/>
  <c r="F20" i="12" s="1"/>
  <c r="B20" i="10"/>
  <c r="B20" i="11" s="1"/>
  <c r="B20" i="12" s="1"/>
  <c r="E34" i="10"/>
  <c r="E34" i="11" s="1"/>
  <c r="E34" i="12" s="1"/>
  <c r="D34" i="10"/>
  <c r="D34" i="11" s="1"/>
  <c r="D34" i="12" s="1"/>
  <c r="G33" i="10"/>
  <c r="G33" i="11" s="1"/>
  <c r="G33" i="12" s="1"/>
  <c r="F33" i="10"/>
  <c r="F33" i="11" s="1"/>
  <c r="F33" i="12" s="1"/>
  <c r="E33" i="10"/>
  <c r="E33" i="11" s="1"/>
  <c r="E33" i="12" s="1"/>
  <c r="E32" i="10"/>
  <c r="E32" i="11" s="1"/>
  <c r="E32" i="12" s="1"/>
  <c r="D32" i="10"/>
  <c r="D32" i="11" s="1"/>
  <c r="D32" i="12" s="1"/>
  <c r="G31" i="10"/>
  <c r="G31" i="11" s="1"/>
  <c r="G31" i="12" s="1"/>
  <c r="F31" i="10"/>
  <c r="F31" i="11" s="1"/>
  <c r="F31" i="12" s="1"/>
  <c r="D31" i="10"/>
  <c r="D31" i="11" s="1"/>
  <c r="D31" i="12" s="1"/>
  <c r="E30" i="10"/>
  <c r="E30" i="11" s="1"/>
  <c r="E30" i="12" s="1"/>
  <c r="D30" i="10"/>
  <c r="D30" i="11" s="1"/>
  <c r="D30" i="12" s="1"/>
  <c r="G29" i="10"/>
  <c r="G29" i="11" s="1"/>
  <c r="G29" i="12" s="1"/>
  <c r="F29" i="10"/>
  <c r="F29" i="11" s="1"/>
  <c r="F29" i="12" s="1"/>
  <c r="E29" i="10"/>
  <c r="E29" i="11" s="1"/>
  <c r="E29" i="12" s="1"/>
  <c r="E28" i="10"/>
  <c r="E28" i="11" s="1"/>
  <c r="E28" i="12" s="1"/>
  <c r="D28" i="10"/>
  <c r="D28" i="11" s="1"/>
  <c r="D28" i="12" s="1"/>
  <c r="G27" i="10"/>
  <c r="G27" i="11" s="1"/>
  <c r="G27" i="12" s="1"/>
  <c r="F27" i="10"/>
  <c r="F27" i="11" s="1"/>
  <c r="F27" i="12" s="1"/>
  <c r="D27" i="10"/>
  <c r="D27" i="11" s="1"/>
  <c r="D27" i="12" s="1"/>
  <c r="E26" i="10"/>
  <c r="E26" i="11" s="1"/>
  <c r="E26" i="12" s="1"/>
  <c r="D26" i="10"/>
  <c r="D26" i="11" s="1"/>
  <c r="D26" i="12" s="1"/>
  <c r="G25" i="10"/>
  <c r="G25" i="11" s="1"/>
  <c r="G25" i="12" s="1"/>
  <c r="F25" i="10"/>
  <c r="F25" i="11" s="1"/>
  <c r="F25" i="12" s="1"/>
  <c r="E25" i="10"/>
  <c r="E25" i="11" s="1"/>
  <c r="E25" i="12" s="1"/>
  <c r="E24" i="10"/>
  <c r="E24" i="11" s="1"/>
  <c r="E24" i="12" s="1"/>
  <c r="D24" i="10"/>
  <c r="D24" i="11" s="1"/>
  <c r="D24" i="12" s="1"/>
  <c r="G23" i="10"/>
  <c r="G23" i="11" s="1"/>
  <c r="G23" i="12" s="1"/>
  <c r="F23" i="10"/>
  <c r="F23" i="11" s="1"/>
  <c r="F23" i="12" s="1"/>
  <c r="D23" i="10"/>
  <c r="D23" i="11" s="1"/>
  <c r="D23" i="12" s="1"/>
  <c r="E22" i="10"/>
  <c r="E22" i="11" s="1"/>
  <c r="E22" i="12" s="1"/>
  <c r="D22" i="10"/>
  <c r="D22" i="11" s="1"/>
  <c r="D22" i="12" s="1"/>
  <c r="G21" i="10"/>
  <c r="G21" i="11" s="1"/>
  <c r="G21" i="12" s="1"/>
  <c r="F21" i="10"/>
  <c r="F21" i="11" s="1"/>
  <c r="F21" i="12" s="1"/>
  <c r="E21" i="10"/>
  <c r="E21" i="11" s="1"/>
  <c r="E21" i="12" s="1"/>
  <c r="D20" i="10"/>
  <c r="D20" i="11" s="1"/>
  <c r="D20" i="12" s="1"/>
  <c r="C33" i="10"/>
  <c r="C33" i="11" s="1"/>
  <c r="C33" i="12" s="1"/>
  <c r="C32" i="10"/>
  <c r="C32" i="11" s="1"/>
  <c r="C32" i="12" s="1"/>
  <c r="C31" i="10"/>
  <c r="C31" i="11" s="1"/>
  <c r="C31" i="12" s="1"/>
  <c r="C29" i="10"/>
  <c r="C29" i="11" s="1"/>
  <c r="C29" i="12" s="1"/>
  <c r="C28" i="10"/>
  <c r="C28" i="11" s="1"/>
  <c r="C28" i="12" s="1"/>
  <c r="C27" i="10"/>
  <c r="C27" i="11" s="1"/>
  <c r="C27" i="12" s="1"/>
  <c r="C25" i="10"/>
  <c r="C25" i="11" s="1"/>
  <c r="C25" i="12" s="1"/>
  <c r="C24" i="10"/>
  <c r="C24" i="11" s="1"/>
  <c r="C24" i="12" s="1"/>
  <c r="C23" i="10"/>
  <c r="C23" i="11" s="1"/>
  <c r="C23" i="12" s="1"/>
  <c r="C21" i="10"/>
  <c r="C21" i="11" s="1"/>
  <c r="C21" i="12" s="1"/>
  <c r="C20" i="10"/>
  <c r="C20" i="11" s="1"/>
  <c r="C20" i="12" s="1"/>
  <c r="B34" i="10"/>
  <c r="B34" i="11" s="1"/>
  <c r="B34" i="12" s="1"/>
  <c r="B33" i="10"/>
  <c r="B33" i="11" s="1"/>
  <c r="B33" i="12" s="1"/>
  <c r="B31" i="10"/>
  <c r="B31" i="11" s="1"/>
  <c r="B31" i="12" s="1"/>
  <c r="B30" i="10"/>
  <c r="B30" i="11" s="1"/>
  <c r="B30" i="12" s="1"/>
  <c r="B29" i="10"/>
  <c r="B29" i="11" s="1"/>
  <c r="B29" i="12" s="1"/>
  <c r="B27" i="10"/>
  <c r="B27" i="11" s="1"/>
  <c r="B27" i="12" s="1"/>
  <c r="B26" i="10"/>
  <c r="B26" i="11" s="1"/>
  <c r="B26" i="12" s="1"/>
  <c r="B25" i="10"/>
  <c r="B25" i="11" s="1"/>
  <c r="B25" i="12" s="1"/>
  <c r="B23" i="10"/>
  <c r="B23" i="11" s="1"/>
  <c r="B23" i="12" s="1"/>
  <c r="B22" i="10"/>
  <c r="B22" i="11" s="1"/>
  <c r="B22" i="12" s="1"/>
  <c r="B21" i="10"/>
  <c r="B21" i="11" s="1"/>
  <c r="B21" i="12" s="1"/>
  <c r="T35" i="10"/>
  <c r="T35" i="9"/>
  <c r="R28" i="1"/>
  <c r="S28" i="1"/>
  <c r="W28" i="1" s="1"/>
  <c r="T28" i="1"/>
  <c r="R29" i="1"/>
  <c r="S29" i="1"/>
  <c r="W29" i="1" s="1"/>
  <c r="T29" i="1"/>
  <c r="R30" i="1"/>
  <c r="S30" i="1"/>
  <c r="W30" i="1" s="1"/>
  <c r="T30" i="1"/>
  <c r="R31" i="1"/>
  <c r="S31" i="1"/>
  <c r="W31" i="1" s="1"/>
  <c r="T31" i="1"/>
  <c r="R32" i="1"/>
  <c r="S32" i="1"/>
  <c r="W32" i="1" s="1"/>
  <c r="T32" i="1"/>
  <c r="R33" i="1"/>
  <c r="S33" i="1"/>
  <c r="W33" i="1" s="1"/>
  <c r="T33" i="1"/>
  <c r="R34" i="1"/>
  <c r="S34" i="1"/>
  <c r="W34" i="1" s="1"/>
  <c r="T34" i="1"/>
  <c r="T27" i="1"/>
  <c r="S27" i="1"/>
  <c r="R27" i="1"/>
  <c r="T26" i="1"/>
  <c r="S26" i="1"/>
  <c r="R26" i="1"/>
  <c r="T25" i="1"/>
  <c r="S25" i="1"/>
  <c r="R25" i="1"/>
  <c r="T24" i="1"/>
  <c r="S24" i="1"/>
  <c r="R24" i="1"/>
  <c r="T23" i="1"/>
  <c r="S23" i="1"/>
  <c r="R23" i="1"/>
  <c r="T22" i="1"/>
  <c r="S22" i="1"/>
  <c r="R22" i="1"/>
  <c r="T21" i="1"/>
  <c r="S21" i="1"/>
  <c r="R21" i="1"/>
  <c r="T20" i="1"/>
  <c r="X20" i="1" s="1"/>
  <c r="S20" i="1"/>
  <c r="R20" i="1"/>
  <c r="V20" i="1" s="1"/>
  <c r="D246" i="16"/>
  <c r="G154" i="13"/>
  <c r="E33" i="24" s="1"/>
  <c r="A121" i="13"/>
  <c r="M83" i="11"/>
  <c r="L83" i="11"/>
  <c r="K83" i="11"/>
  <c r="M83" i="10"/>
  <c r="L83" i="10"/>
  <c r="K83" i="10"/>
  <c r="M85" i="1"/>
  <c r="L85" i="1"/>
  <c r="K85" i="1"/>
  <c r="M85" i="9"/>
  <c r="L85" i="9"/>
  <c r="K85" i="9"/>
  <c r="D97" i="13"/>
  <c r="D98" i="13" s="1"/>
  <c r="D90" i="13"/>
  <c r="D91" i="13" s="1"/>
  <c r="D83" i="13"/>
  <c r="D84" i="13" s="1"/>
  <c r="D76" i="13"/>
  <c r="D77" i="13" s="1"/>
  <c r="D69" i="13"/>
  <c r="D70" i="13" s="1"/>
  <c r="D62" i="13"/>
  <c r="D63" i="13" s="1"/>
  <c r="D55" i="13"/>
  <c r="D56" i="13" s="1"/>
  <c r="D48" i="13"/>
  <c r="D49" i="13" s="1"/>
  <c r="S8" i="1"/>
  <c r="S9" i="1"/>
  <c r="W9" i="1" s="1"/>
  <c r="S10" i="1"/>
  <c r="S11" i="1"/>
  <c r="W11" i="1" s="1"/>
  <c r="S12" i="1"/>
  <c r="S13" i="1"/>
  <c r="D37" i="13" s="1"/>
  <c r="S14" i="1"/>
  <c r="W14" i="1" s="1"/>
  <c r="F2" i="13"/>
  <c r="R8" i="1"/>
  <c r="R9" i="1"/>
  <c r="R10" i="1"/>
  <c r="R11" i="1"/>
  <c r="R12" i="1"/>
  <c r="D43" i="13" s="1"/>
  <c r="R13" i="1"/>
  <c r="V13" i="1" s="1"/>
  <c r="R14" i="1"/>
  <c r="V14" i="1" s="1"/>
  <c r="T8" i="1"/>
  <c r="T9" i="1"/>
  <c r="X9" i="1" s="1"/>
  <c r="T10" i="1"/>
  <c r="T11" i="1"/>
  <c r="X11" i="1" s="1"/>
  <c r="T12" i="1"/>
  <c r="X12" i="1" s="1"/>
  <c r="T13" i="1"/>
  <c r="T14" i="1"/>
  <c r="X14" i="1" s="1"/>
  <c r="D112" i="13"/>
  <c r="B15" i="24" s="1"/>
  <c r="D108" i="13"/>
  <c r="B14" i="24" s="1"/>
  <c r="D110" i="13"/>
  <c r="B13" i="24" s="1"/>
  <c r="D105" i="13"/>
  <c r="D111" i="13"/>
  <c r="B11" i="24" s="1"/>
  <c r="D109" i="13"/>
  <c r="B10" i="24" s="1"/>
  <c r="B28" i="8"/>
  <c r="B29" i="8"/>
  <c r="E146" i="13"/>
  <c r="C27" i="24" s="1"/>
  <c r="E147" i="13"/>
  <c r="C28" i="24" s="1"/>
  <c r="E153" i="13"/>
  <c r="C32" i="24" s="1"/>
  <c r="E154" i="13"/>
  <c r="C33" i="24" s="1"/>
  <c r="E161" i="13"/>
  <c r="E162" i="13"/>
  <c r="C41" i="24" s="1"/>
  <c r="E155" i="13"/>
  <c r="C34" i="24" s="1"/>
  <c r="E151" i="13"/>
  <c r="C31" i="24" s="1"/>
  <c r="F146" i="13"/>
  <c r="D27" i="24" s="1"/>
  <c r="F147" i="13"/>
  <c r="D28" i="24" s="1"/>
  <c r="F153" i="13"/>
  <c r="D32" i="24" s="1"/>
  <c r="F154" i="13"/>
  <c r="D33" i="24" s="1"/>
  <c r="F161" i="13"/>
  <c r="D40" i="24" s="1"/>
  <c r="F162" i="13"/>
  <c r="D41" i="24" s="1"/>
  <c r="F156" i="13"/>
  <c r="D35" i="24" s="1"/>
  <c r="F155" i="13"/>
  <c r="D34" i="24" s="1"/>
  <c r="F151" i="13"/>
  <c r="D31" i="24" s="1"/>
  <c r="G146" i="13"/>
  <c r="E27" i="24" s="1"/>
  <c r="G147" i="13"/>
  <c r="E28" i="24" s="1"/>
  <c r="G153" i="13"/>
  <c r="E32" i="24" s="1"/>
  <c r="G161" i="13"/>
  <c r="G162" i="13"/>
  <c r="E41" i="24" s="1"/>
  <c r="G156" i="13"/>
  <c r="E35" i="24" s="1"/>
  <c r="G155" i="13"/>
  <c r="E34" i="24" s="1"/>
  <c r="G151" i="13"/>
  <c r="E31" i="24" s="1"/>
  <c r="H146" i="13"/>
  <c r="F27" i="24" s="1"/>
  <c r="H147" i="13"/>
  <c r="F28" i="24" s="1"/>
  <c r="H153" i="13"/>
  <c r="F32" i="24" s="1"/>
  <c r="H154" i="13"/>
  <c r="F33" i="24" s="1"/>
  <c r="H161" i="13"/>
  <c r="F40" i="24" s="1"/>
  <c r="H162" i="13"/>
  <c r="F41" i="24" s="1"/>
  <c r="H156" i="13"/>
  <c r="F35" i="24" s="1"/>
  <c r="H155" i="13"/>
  <c r="F34" i="24" s="1"/>
  <c r="H151" i="13"/>
  <c r="F31" i="24" s="1"/>
  <c r="D146" i="13"/>
  <c r="B27" i="24" s="1"/>
  <c r="D147" i="13"/>
  <c r="B28" i="24" s="1"/>
  <c r="D153" i="13"/>
  <c r="B32" i="24" s="1"/>
  <c r="D154" i="13"/>
  <c r="B33" i="24" s="1"/>
  <c r="D161" i="13"/>
  <c r="B40" i="24" s="1"/>
  <c r="D162" i="13"/>
  <c r="B41" i="24" s="1"/>
  <c r="D155" i="13"/>
  <c r="B34" i="24" s="1"/>
  <c r="D151" i="13"/>
  <c r="B31" i="24" s="1"/>
  <c r="C2" i="13"/>
  <c r="I2" i="13"/>
  <c r="A89" i="13"/>
  <c r="A82" i="13"/>
  <c r="A75" i="13"/>
  <c r="A21" i="13"/>
  <c r="A68" i="13"/>
  <c r="A61" i="13"/>
  <c r="A54" i="13"/>
  <c r="A47" i="13"/>
  <c r="A33" i="13"/>
  <c r="A29" i="13"/>
  <c r="A25" i="13"/>
  <c r="A17" i="13"/>
  <c r="A13" i="13"/>
  <c r="A9" i="13"/>
  <c r="A5" i="13"/>
  <c r="D101" i="13"/>
  <c r="D102" i="13" s="1"/>
  <c r="D94" i="13"/>
  <c r="D95" i="13" s="1"/>
  <c r="D87" i="13"/>
  <c r="D80" i="13"/>
  <c r="D81" i="13" s="1"/>
  <c r="D73" i="13"/>
  <c r="D74" i="13" s="1"/>
  <c r="D66" i="13"/>
  <c r="D67" i="13" s="1"/>
  <c r="D59" i="13"/>
  <c r="D99" i="13"/>
  <c r="D100" i="13" s="1"/>
  <c r="D92" i="13"/>
  <c r="D93" i="13" s="1"/>
  <c r="D85" i="13"/>
  <c r="D86" i="13" s="1"/>
  <c r="D78" i="13"/>
  <c r="D79" i="13" s="1"/>
  <c r="D71" i="13"/>
  <c r="D72" i="13" s="1"/>
  <c r="D64" i="13"/>
  <c r="D65" i="13" s="1"/>
  <c r="D57" i="13"/>
  <c r="D58" i="13" s="1"/>
  <c r="D52" i="13"/>
  <c r="D53" i="13" s="1"/>
  <c r="D50" i="13"/>
  <c r="D51" i="13" s="1"/>
  <c r="A170" i="13"/>
  <c r="E140" i="13"/>
  <c r="C24" i="24" s="1"/>
  <c r="F140" i="13"/>
  <c r="D24" i="24" s="1"/>
  <c r="G140" i="13"/>
  <c r="E24" i="24" s="1"/>
  <c r="H140" i="13"/>
  <c r="F24" i="24" s="1"/>
  <c r="E141" i="13"/>
  <c r="C25" i="24" s="1"/>
  <c r="F141" i="13"/>
  <c r="D25" i="24" s="1"/>
  <c r="G141" i="13"/>
  <c r="E25" i="24" s="1"/>
  <c r="H141" i="13"/>
  <c r="F25" i="24" s="1"/>
  <c r="E142" i="13"/>
  <c r="C26" i="24" s="1"/>
  <c r="F142" i="13"/>
  <c r="D26" i="24" s="1"/>
  <c r="G142" i="13"/>
  <c r="E26" i="24" s="1"/>
  <c r="H142" i="13"/>
  <c r="F26" i="24" s="1"/>
  <c r="H139" i="13"/>
  <c r="G139" i="13"/>
  <c r="F139" i="13"/>
  <c r="E139" i="13"/>
  <c r="D140" i="13"/>
  <c r="B24" i="24" s="1"/>
  <c r="D142" i="13"/>
  <c r="B26" i="24" s="1"/>
  <c r="D139" i="13"/>
  <c r="P48" i="2"/>
  <c r="N48" i="2"/>
  <c r="L48" i="2"/>
  <c r="H15" i="2"/>
  <c r="H21" i="2"/>
  <c r="H29" i="2"/>
  <c r="J15" i="2"/>
  <c r="J21" i="2"/>
  <c r="E105" i="16" s="1"/>
  <c r="J29" i="2"/>
  <c r="E112" i="16" s="1"/>
  <c r="P15" i="2"/>
  <c r="H100" i="16" s="1"/>
  <c r="P21" i="2"/>
  <c r="P29" i="2"/>
  <c r="H112" i="16" s="1"/>
  <c r="N15" i="2"/>
  <c r="G100" i="16" s="1"/>
  <c r="N21" i="2"/>
  <c r="G105" i="16" s="1"/>
  <c r="N29" i="2"/>
  <c r="G112" i="16" s="1"/>
  <c r="L15" i="2"/>
  <c r="F100" i="16" s="1"/>
  <c r="L21" i="2"/>
  <c r="F105" i="16" s="1"/>
  <c r="L29" i="2"/>
  <c r="F112" i="16" s="1"/>
  <c r="H134" i="13"/>
  <c r="F20" i="24" s="1"/>
  <c r="G134" i="13"/>
  <c r="E20" i="24" s="1"/>
  <c r="F134" i="13"/>
  <c r="D20" i="24" s="1"/>
  <c r="H135" i="13"/>
  <c r="F21" i="24" s="1"/>
  <c r="G135" i="13"/>
  <c r="E21" i="24" s="1"/>
  <c r="F135" i="13"/>
  <c r="D21" i="24" s="1"/>
  <c r="G136" i="13"/>
  <c r="D135" i="13"/>
  <c r="B21" i="24" s="1"/>
  <c r="E135" i="13"/>
  <c r="C21" i="24" s="1"/>
  <c r="D134" i="13"/>
  <c r="B20" i="24" s="1"/>
  <c r="E134" i="13"/>
  <c r="C20" i="24" s="1"/>
  <c r="D7" i="13"/>
  <c r="A120" i="13"/>
  <c r="I179" i="13"/>
  <c r="L46" i="9"/>
  <c r="K46" i="9"/>
  <c r="J46" i="9"/>
  <c r="L45" i="9"/>
  <c r="K45" i="9"/>
  <c r="J45" i="9"/>
  <c r="L44" i="9"/>
  <c r="K44" i="9"/>
  <c r="J44" i="9"/>
  <c r="L43" i="9"/>
  <c r="K43" i="9"/>
  <c r="J43" i="9"/>
  <c r="L42" i="9"/>
  <c r="K42" i="9"/>
  <c r="J42" i="9"/>
  <c r="L39" i="9"/>
  <c r="K39" i="9"/>
  <c r="J39" i="9"/>
  <c r="B39" i="9"/>
  <c r="B39" i="10" s="1"/>
  <c r="G14" i="9"/>
  <c r="G14" i="10" s="1"/>
  <c r="G14" i="11" s="1"/>
  <c r="G14" i="12" s="1"/>
  <c r="F14" i="9"/>
  <c r="F14" i="10" s="1"/>
  <c r="F14" i="11" s="1"/>
  <c r="F14" i="12" s="1"/>
  <c r="E14" i="9"/>
  <c r="E14" i="10" s="1"/>
  <c r="E14" i="11" s="1"/>
  <c r="E14" i="12" s="1"/>
  <c r="D14" i="9"/>
  <c r="D14" i="10" s="1"/>
  <c r="D14" i="11" s="1"/>
  <c r="D14" i="12" s="1"/>
  <c r="C14" i="9"/>
  <c r="C14" i="10" s="1"/>
  <c r="C14" i="11" s="1"/>
  <c r="C14" i="12" s="1"/>
  <c r="B14" i="9"/>
  <c r="B14" i="10" s="1"/>
  <c r="B14" i="11" s="1"/>
  <c r="B14" i="12" s="1"/>
  <c r="G13" i="9"/>
  <c r="G13" i="10" s="1"/>
  <c r="G13" i="11" s="1"/>
  <c r="G13" i="12" s="1"/>
  <c r="F13" i="9"/>
  <c r="F13" i="10" s="1"/>
  <c r="F13" i="11" s="1"/>
  <c r="F13" i="12" s="1"/>
  <c r="E13" i="9"/>
  <c r="E13" i="10" s="1"/>
  <c r="E13" i="11" s="1"/>
  <c r="E13" i="12" s="1"/>
  <c r="D13" i="9"/>
  <c r="D13" i="10" s="1"/>
  <c r="D13" i="11" s="1"/>
  <c r="D13" i="12" s="1"/>
  <c r="C13" i="9"/>
  <c r="C13" i="10" s="1"/>
  <c r="C13" i="11" s="1"/>
  <c r="C13" i="12" s="1"/>
  <c r="B13" i="9"/>
  <c r="B13" i="10" s="1"/>
  <c r="B13" i="11" s="1"/>
  <c r="B13" i="12" s="1"/>
  <c r="G12" i="9"/>
  <c r="G12" i="10" s="1"/>
  <c r="G12" i="11" s="1"/>
  <c r="G12" i="12" s="1"/>
  <c r="F12" i="9"/>
  <c r="F12" i="10" s="1"/>
  <c r="F12" i="11" s="1"/>
  <c r="F12" i="12" s="1"/>
  <c r="E12" i="9"/>
  <c r="E12" i="10" s="1"/>
  <c r="E12" i="11" s="1"/>
  <c r="E12" i="12" s="1"/>
  <c r="D12" i="9"/>
  <c r="D12" i="10" s="1"/>
  <c r="D12" i="11" s="1"/>
  <c r="D12" i="12" s="1"/>
  <c r="C12" i="9"/>
  <c r="C12" i="10" s="1"/>
  <c r="C12" i="11" s="1"/>
  <c r="C12" i="12" s="1"/>
  <c r="B12" i="9"/>
  <c r="B12" i="10" s="1"/>
  <c r="B12" i="11" s="1"/>
  <c r="B12" i="12" s="1"/>
  <c r="G11" i="9"/>
  <c r="G11" i="10" s="1"/>
  <c r="G11" i="11" s="1"/>
  <c r="G11" i="12" s="1"/>
  <c r="F11" i="9"/>
  <c r="F11" i="10" s="1"/>
  <c r="F11" i="11" s="1"/>
  <c r="F11" i="12" s="1"/>
  <c r="E11" i="9"/>
  <c r="E11" i="10" s="1"/>
  <c r="E11" i="11" s="1"/>
  <c r="E11" i="12" s="1"/>
  <c r="D11" i="9"/>
  <c r="D11" i="10" s="1"/>
  <c r="D11" i="11" s="1"/>
  <c r="D11" i="12" s="1"/>
  <c r="C11" i="9"/>
  <c r="C11" i="10" s="1"/>
  <c r="C11" i="11" s="1"/>
  <c r="C11" i="12" s="1"/>
  <c r="B11" i="9"/>
  <c r="B11" i="10" s="1"/>
  <c r="B11" i="11" s="1"/>
  <c r="B11" i="12" s="1"/>
  <c r="G10" i="9"/>
  <c r="G10" i="10" s="1"/>
  <c r="G10" i="11" s="1"/>
  <c r="G10" i="12" s="1"/>
  <c r="F10" i="9"/>
  <c r="F10" i="10" s="1"/>
  <c r="F10" i="11" s="1"/>
  <c r="F10" i="12" s="1"/>
  <c r="E10" i="9"/>
  <c r="E10" i="10" s="1"/>
  <c r="E10" i="11" s="1"/>
  <c r="E10" i="12" s="1"/>
  <c r="D10" i="9"/>
  <c r="D10" i="10" s="1"/>
  <c r="D10" i="11" s="1"/>
  <c r="D10" i="12" s="1"/>
  <c r="C10" i="9"/>
  <c r="C10" i="10" s="1"/>
  <c r="C10" i="11" s="1"/>
  <c r="C10" i="12" s="1"/>
  <c r="B10" i="9"/>
  <c r="B10" i="10" s="1"/>
  <c r="B10" i="11" s="1"/>
  <c r="B10" i="12" s="1"/>
  <c r="G9" i="9"/>
  <c r="G9" i="10" s="1"/>
  <c r="G9" i="11" s="1"/>
  <c r="G9" i="12" s="1"/>
  <c r="F9" i="9"/>
  <c r="F9" i="10" s="1"/>
  <c r="F9" i="11" s="1"/>
  <c r="F9" i="12" s="1"/>
  <c r="E9" i="9"/>
  <c r="E9" i="10" s="1"/>
  <c r="E9" i="11" s="1"/>
  <c r="E9" i="12" s="1"/>
  <c r="D9" i="9"/>
  <c r="D9" i="10" s="1"/>
  <c r="D9" i="11" s="1"/>
  <c r="D9" i="12" s="1"/>
  <c r="C9" i="9"/>
  <c r="C9" i="10" s="1"/>
  <c r="C9" i="11" s="1"/>
  <c r="C9" i="12" s="1"/>
  <c r="B9" i="9"/>
  <c r="B9" i="10" s="1"/>
  <c r="B9" i="11" s="1"/>
  <c r="B9" i="12" s="1"/>
  <c r="G8" i="9"/>
  <c r="G8" i="10" s="1"/>
  <c r="G8" i="11" s="1"/>
  <c r="G8" i="12" s="1"/>
  <c r="F8" i="9"/>
  <c r="F8" i="10" s="1"/>
  <c r="F8" i="11" s="1"/>
  <c r="F8" i="12" s="1"/>
  <c r="E8" i="9"/>
  <c r="E8" i="10" s="1"/>
  <c r="E8" i="11" s="1"/>
  <c r="E8" i="12" s="1"/>
  <c r="D8" i="9"/>
  <c r="D8" i="10" s="1"/>
  <c r="D8" i="11" s="1"/>
  <c r="D8" i="12" s="1"/>
  <c r="C8" i="9"/>
  <c r="C8" i="10" s="1"/>
  <c r="C8" i="11" s="1"/>
  <c r="C8" i="12" s="1"/>
  <c r="B8" i="9"/>
  <c r="B8" i="10" s="1"/>
  <c r="B8" i="11" s="1"/>
  <c r="B8" i="12" s="1"/>
  <c r="G7" i="10"/>
  <c r="G7" i="11" s="1"/>
  <c r="G7" i="12" s="1"/>
  <c r="F7" i="9"/>
  <c r="F7" i="10" s="1"/>
  <c r="F7" i="11" s="1"/>
  <c r="F7" i="12" s="1"/>
  <c r="E7" i="9"/>
  <c r="E7" i="10" s="1"/>
  <c r="E7" i="11" s="1"/>
  <c r="E7" i="12" s="1"/>
  <c r="D7" i="9"/>
  <c r="D7" i="10" s="1"/>
  <c r="D7" i="11" s="1"/>
  <c r="D7" i="12" s="1"/>
  <c r="C7" i="9"/>
  <c r="C7" i="10" s="1"/>
  <c r="C7" i="11" s="1"/>
  <c r="C7" i="12" s="1"/>
  <c r="B7" i="9"/>
  <c r="B7" i="10" s="1"/>
  <c r="B7" i="11" s="1"/>
  <c r="B7" i="12" s="1"/>
  <c r="R35" i="2"/>
  <c r="F21" i="8" s="1"/>
  <c r="R36" i="2"/>
  <c r="F22" i="8" s="1"/>
  <c r="R37" i="2"/>
  <c r="F23" i="8" s="1"/>
  <c r="R39" i="2"/>
  <c r="F25" i="8" s="1"/>
  <c r="R40" i="2"/>
  <c r="F26" i="8" s="1"/>
  <c r="R46" i="2"/>
  <c r="F28" i="8" s="1"/>
  <c r="R47" i="2"/>
  <c r="F29" i="8" s="1"/>
  <c r="R34" i="2"/>
  <c r="F20" i="8" s="1"/>
  <c r="R26" i="2"/>
  <c r="F15" i="8" s="1"/>
  <c r="R27" i="2"/>
  <c r="F16" i="8" s="1"/>
  <c r="R28" i="2"/>
  <c r="F17" i="8" s="1"/>
  <c r="R25" i="2"/>
  <c r="R20" i="2"/>
  <c r="F12" i="8" s="1"/>
  <c r="R19" i="2"/>
  <c r="F11" i="8" s="1"/>
  <c r="R7" i="2"/>
  <c r="R8" i="2"/>
  <c r="R9" i="2"/>
  <c r="R10" i="2"/>
  <c r="R11" i="2"/>
  <c r="R12" i="2"/>
  <c r="R13" i="2"/>
  <c r="R14" i="2"/>
  <c r="D115" i="13" l="1"/>
  <c r="X13" i="1"/>
  <c r="D38" i="13"/>
  <c r="D39" i="13"/>
  <c r="D8" i="16"/>
  <c r="W13" i="1"/>
  <c r="D6" i="16"/>
  <c r="V12" i="1"/>
  <c r="D12" i="16"/>
  <c r="D7" i="16"/>
  <c r="V9" i="1"/>
  <c r="B49" i="10"/>
  <c r="B39" i="11"/>
  <c r="V11" i="1"/>
  <c r="N11" i="1" s="1"/>
  <c r="O11" i="1" s="1"/>
  <c r="V10" i="1"/>
  <c r="X10" i="1"/>
  <c r="W10" i="1"/>
  <c r="B7" i="13"/>
  <c r="V8" i="1"/>
  <c r="W8" i="1"/>
  <c r="X8" i="1"/>
  <c r="D225" i="13"/>
  <c r="B225" i="13" s="1"/>
  <c r="X24" i="1"/>
  <c r="D267" i="13"/>
  <c r="V34" i="1"/>
  <c r="D251" i="13"/>
  <c r="V30" i="1"/>
  <c r="D215" i="13"/>
  <c r="V21" i="1"/>
  <c r="D231" i="13"/>
  <c r="V25" i="1"/>
  <c r="D261" i="13"/>
  <c r="B261" i="13" s="1"/>
  <c r="X33" i="1"/>
  <c r="D245" i="13"/>
  <c r="B245" i="13" s="1"/>
  <c r="X29" i="1"/>
  <c r="D213" i="13"/>
  <c r="B213" i="13" s="1"/>
  <c r="X21" i="1"/>
  <c r="D218" i="13"/>
  <c r="B218" i="13" s="1"/>
  <c r="W22" i="1"/>
  <c r="D234" i="13"/>
  <c r="B234" i="13" s="1"/>
  <c r="W26" i="1"/>
  <c r="D230" i="13"/>
  <c r="B230" i="13" s="1"/>
  <c r="W25" i="1"/>
  <c r="D263" i="13"/>
  <c r="V33" i="1"/>
  <c r="D219" i="13"/>
  <c r="V22" i="1"/>
  <c r="D217" i="13"/>
  <c r="B217" i="13" s="1"/>
  <c r="X22" i="1"/>
  <c r="D233" i="13"/>
  <c r="B233" i="13" s="1"/>
  <c r="X26" i="1"/>
  <c r="D243" i="13"/>
  <c r="V28" i="1"/>
  <c r="D257" i="13"/>
  <c r="B257" i="13" s="1"/>
  <c r="X32" i="1"/>
  <c r="D223" i="13"/>
  <c r="V23" i="1"/>
  <c r="D239" i="13"/>
  <c r="V27" i="1"/>
  <c r="D253" i="13"/>
  <c r="B253" i="13" s="1"/>
  <c r="X31" i="1"/>
  <c r="D259" i="13"/>
  <c r="V32" i="1"/>
  <c r="D222" i="13"/>
  <c r="B222" i="13" s="1"/>
  <c r="W23" i="1"/>
  <c r="D238" i="13"/>
  <c r="B238" i="13" s="1"/>
  <c r="W27" i="1"/>
  <c r="D214" i="13"/>
  <c r="B214" i="13" s="1"/>
  <c r="W21" i="1"/>
  <c r="D27" i="13"/>
  <c r="B27" i="13" s="1"/>
  <c r="W12" i="1"/>
  <c r="D247" i="13"/>
  <c r="V29" i="1"/>
  <c r="D221" i="13"/>
  <c r="B221" i="13" s="1"/>
  <c r="X23" i="1"/>
  <c r="D237" i="13"/>
  <c r="B237" i="13" s="1"/>
  <c r="X27" i="1"/>
  <c r="D255" i="13"/>
  <c r="V31" i="1"/>
  <c r="D227" i="13"/>
  <c r="V24" i="1"/>
  <c r="D265" i="13"/>
  <c r="X34" i="1"/>
  <c r="D249" i="13"/>
  <c r="B249" i="13" s="1"/>
  <c r="X30" i="1"/>
  <c r="D229" i="13"/>
  <c r="B229" i="13" s="1"/>
  <c r="X25" i="1"/>
  <c r="D235" i="13"/>
  <c r="V26" i="1"/>
  <c r="D241" i="13"/>
  <c r="B241" i="13" s="1"/>
  <c r="X28" i="1"/>
  <c r="D210" i="13"/>
  <c r="B210" i="13" s="1"/>
  <c r="W20" i="1"/>
  <c r="D226" i="13"/>
  <c r="B226" i="13" s="1"/>
  <c r="W24" i="1"/>
  <c r="B12" i="24"/>
  <c r="D12" i="13"/>
  <c r="D11" i="13"/>
  <c r="B11" i="13" s="1"/>
  <c r="D10" i="13"/>
  <c r="B10" i="13" s="1"/>
  <c r="F130" i="13"/>
  <c r="F136" i="13"/>
  <c r="J13" i="19" s="1"/>
  <c r="L93" i="2"/>
  <c r="D91" i="16"/>
  <c r="L21" i="19"/>
  <c r="E23" i="24"/>
  <c r="N21" i="19"/>
  <c r="F23" i="24"/>
  <c r="H21" i="19"/>
  <c r="C23" i="24"/>
  <c r="G163" i="13"/>
  <c r="E42" i="24" s="1"/>
  <c r="E40" i="24"/>
  <c r="L13" i="19"/>
  <c r="E22" i="24"/>
  <c r="J21" i="19"/>
  <c r="D23" i="24"/>
  <c r="C40" i="24"/>
  <c r="F21" i="19"/>
  <c r="B23" i="24"/>
  <c r="H163" i="13"/>
  <c r="F42" i="24" s="1"/>
  <c r="E91" i="16"/>
  <c r="N14" i="1"/>
  <c r="O14" i="1" s="1"/>
  <c r="E66" i="13"/>
  <c r="E67" i="13" s="1"/>
  <c r="D23" i="13"/>
  <c r="B23" i="13" s="1"/>
  <c r="D36" i="13"/>
  <c r="D20" i="13"/>
  <c r="D19" i="13"/>
  <c r="B19" i="13" s="1"/>
  <c r="D35" i="13"/>
  <c r="B35" i="13" s="1"/>
  <c r="E105" i="13"/>
  <c r="D163" i="13"/>
  <c r="B42" i="24" s="1"/>
  <c r="F163" i="13"/>
  <c r="D42" i="24" s="1"/>
  <c r="D6" i="13"/>
  <c r="B6" i="13" s="1"/>
  <c r="E21" i="16"/>
  <c r="E22" i="16" s="1"/>
  <c r="B49" i="9"/>
  <c r="F112" i="13"/>
  <c r="D15" i="24" s="1"/>
  <c r="B15" i="9"/>
  <c r="B16" i="9" s="1"/>
  <c r="E20" i="10"/>
  <c r="E20" i="11" s="1"/>
  <c r="E20" i="12" s="1"/>
  <c r="B35" i="12" s="1"/>
  <c r="B15" i="12" s="1"/>
  <c r="B16" i="12" s="1"/>
  <c r="E237" i="16"/>
  <c r="E238" i="16" s="1"/>
  <c r="R28" i="9"/>
  <c r="V28" i="9" s="1"/>
  <c r="E329" i="13"/>
  <c r="E189" i="16"/>
  <c r="Q21" i="9"/>
  <c r="U21" i="9" s="1"/>
  <c r="E267" i="16"/>
  <c r="E268" i="16" s="1"/>
  <c r="Q32" i="9"/>
  <c r="U32" i="9" s="1"/>
  <c r="E239" i="16"/>
  <c r="Q28" i="9"/>
  <c r="U28" i="9" s="1"/>
  <c r="E208" i="16"/>
  <c r="E209" i="16" s="1"/>
  <c r="E300" i="13"/>
  <c r="R24" i="9"/>
  <c r="V24" i="9" s="1"/>
  <c r="E359" i="13"/>
  <c r="E210" i="16"/>
  <c r="E211" i="16" s="1"/>
  <c r="Q24" i="9"/>
  <c r="U24" i="9" s="1"/>
  <c r="N15" i="19"/>
  <c r="H15" i="19"/>
  <c r="F15" i="19"/>
  <c r="J15" i="19"/>
  <c r="L15" i="19"/>
  <c r="H130" i="13"/>
  <c r="H131" i="13"/>
  <c r="G131" i="13"/>
  <c r="G130" i="13"/>
  <c r="I124" i="16"/>
  <c r="D15" i="13"/>
  <c r="B15" i="13" s="1"/>
  <c r="D31" i="13"/>
  <c r="B31" i="13" s="1"/>
  <c r="F131" i="13"/>
  <c r="E143" i="13"/>
  <c r="D22" i="13"/>
  <c r="B22" i="13" s="1"/>
  <c r="D211" i="13"/>
  <c r="D28" i="13"/>
  <c r="D32" i="13"/>
  <c r="D24" i="13"/>
  <c r="D16" i="13"/>
  <c r="D26" i="13"/>
  <c r="B26" i="13" s="1"/>
  <c r="D34" i="13"/>
  <c r="B34" i="13" s="1"/>
  <c r="E109" i="13"/>
  <c r="C10" i="24" s="1"/>
  <c r="I200" i="13"/>
  <c r="I192" i="13"/>
  <c r="I162" i="13"/>
  <c r="G41" i="24" s="1"/>
  <c r="I154" i="13"/>
  <c r="G33" i="24" s="1"/>
  <c r="I103" i="16"/>
  <c r="I110" i="16"/>
  <c r="G132" i="16"/>
  <c r="G173" i="16"/>
  <c r="I159" i="16"/>
  <c r="I167" i="16"/>
  <c r="H105" i="16"/>
  <c r="H136" i="13"/>
  <c r="E100" i="16"/>
  <c r="E130" i="13"/>
  <c r="E131" i="13"/>
  <c r="D100" i="16"/>
  <c r="D131" i="13"/>
  <c r="I170" i="16"/>
  <c r="E108" i="13"/>
  <c r="C14" i="24" s="1"/>
  <c r="D258" i="13"/>
  <c r="B258" i="13" s="1"/>
  <c r="D242" i="13"/>
  <c r="B242" i="13" s="1"/>
  <c r="T35" i="1"/>
  <c r="D130" i="13"/>
  <c r="I168" i="16"/>
  <c r="I141" i="13"/>
  <c r="G25" i="24" s="1"/>
  <c r="I142" i="13"/>
  <c r="G26" i="24" s="1"/>
  <c r="I140" i="13"/>
  <c r="G24" i="24" s="1"/>
  <c r="D262" i="13"/>
  <c r="B262" i="13" s="1"/>
  <c r="D246" i="13"/>
  <c r="B246" i="13" s="1"/>
  <c r="D105" i="16"/>
  <c r="D136" i="13"/>
  <c r="N13" i="1"/>
  <c r="O13" i="1" s="1"/>
  <c r="D30" i="13"/>
  <c r="B30" i="13" s="1"/>
  <c r="D14" i="13"/>
  <c r="B14" i="13" s="1"/>
  <c r="D254" i="13"/>
  <c r="B254" i="13" s="1"/>
  <c r="D209" i="13"/>
  <c r="B209" i="13" s="1"/>
  <c r="R35" i="1"/>
  <c r="R38" i="2"/>
  <c r="F24" i="8" s="1"/>
  <c r="I164" i="16"/>
  <c r="I166" i="16"/>
  <c r="E174" i="16"/>
  <c r="I147" i="13"/>
  <c r="G28" i="24" s="1"/>
  <c r="I198" i="13"/>
  <c r="I190" i="13"/>
  <c r="I151" i="13"/>
  <c r="G31" i="24" s="1"/>
  <c r="I161" i="13"/>
  <c r="G40" i="24" s="1"/>
  <c r="I196" i="13"/>
  <c r="D18" i="13"/>
  <c r="B18" i="13" s="1"/>
  <c r="S15" i="1"/>
  <c r="S35" i="1"/>
  <c r="D266" i="13"/>
  <c r="D250" i="13"/>
  <c r="B250" i="13" s="1"/>
  <c r="R29" i="2"/>
  <c r="F18" i="8" s="1"/>
  <c r="I156" i="16"/>
  <c r="N7" i="1"/>
  <c r="O7" i="1" s="1"/>
  <c r="R15" i="2"/>
  <c r="G9" i="8" s="1"/>
  <c r="D8" i="13"/>
  <c r="R15" i="1"/>
  <c r="D60" i="13"/>
  <c r="I202" i="13"/>
  <c r="I194" i="13"/>
  <c r="E204" i="13"/>
  <c r="I153" i="13"/>
  <c r="G32" i="24" s="1"/>
  <c r="D88" i="13"/>
  <c r="F204" i="13"/>
  <c r="I146" i="13"/>
  <c r="I155" i="13"/>
  <c r="G34" i="24" s="1"/>
  <c r="E111" i="13"/>
  <c r="C11" i="24" s="1"/>
  <c r="I104" i="16"/>
  <c r="I111" i="16"/>
  <c r="I122" i="16"/>
  <c r="D132" i="16"/>
  <c r="H132" i="16"/>
  <c r="D173" i="16"/>
  <c r="H173" i="16"/>
  <c r="I161" i="16"/>
  <c r="I169" i="16"/>
  <c r="I108" i="16"/>
  <c r="I131" i="16"/>
  <c r="E173" i="16"/>
  <c r="I155" i="16"/>
  <c r="I163" i="16"/>
  <c r="I171" i="16"/>
  <c r="I109" i="16"/>
  <c r="I115" i="16"/>
  <c r="F132" i="16"/>
  <c r="F173" i="16"/>
  <c r="I157" i="16"/>
  <c r="I165" i="16"/>
  <c r="I139" i="13"/>
  <c r="G23" i="24" s="1"/>
  <c r="F110" i="13"/>
  <c r="D13" i="24" s="1"/>
  <c r="E112" i="13"/>
  <c r="C15" i="24" s="1"/>
  <c r="E110" i="13"/>
  <c r="C13" i="24" s="1"/>
  <c r="F14" i="8"/>
  <c r="D112" i="16"/>
  <c r="I112" i="16" s="1"/>
  <c r="D32" i="16"/>
  <c r="D36" i="16"/>
  <c r="D200" i="16"/>
  <c r="D204" i="16"/>
  <c r="D278" i="16"/>
  <c r="D282" i="16"/>
  <c r="I153" i="16"/>
  <c r="D18" i="16"/>
  <c r="D22" i="16"/>
  <c r="D46" i="16"/>
  <c r="D50" i="16"/>
  <c r="D62" i="16"/>
  <c r="D67" i="16"/>
  <c r="D71" i="16"/>
  <c r="D195" i="16"/>
  <c r="D228" i="16"/>
  <c r="D238" i="16"/>
  <c r="D250" i="16"/>
  <c r="D257" i="16"/>
  <c r="D273" i="16"/>
  <c r="I172" i="16"/>
  <c r="I120" i="16"/>
  <c r="I123" i="16"/>
  <c r="I130" i="16"/>
  <c r="I135" i="13"/>
  <c r="G21" i="24" s="1"/>
  <c r="R21" i="2"/>
  <c r="F10" i="8" s="1"/>
  <c r="I134" i="13"/>
  <c r="G20" i="24" s="1"/>
  <c r="E136" i="13"/>
  <c r="D143" i="13"/>
  <c r="I160" i="16"/>
  <c r="I162" i="16"/>
  <c r="H204" i="13"/>
  <c r="I116" i="16"/>
  <c r="D204" i="13"/>
  <c r="G204" i="13"/>
  <c r="F143" i="13"/>
  <c r="G143" i="13"/>
  <c r="H143" i="13"/>
  <c r="T15" i="1"/>
  <c r="D247" i="16"/>
  <c r="D99" i="16"/>
  <c r="E99" i="16"/>
  <c r="F99" i="16"/>
  <c r="G99" i="16"/>
  <c r="H99" i="16"/>
  <c r="E302" i="13"/>
  <c r="E304" i="13"/>
  <c r="E318" i="13"/>
  <c r="E331" i="13"/>
  <c r="E333" i="13"/>
  <c r="E354" i="13"/>
  <c r="E361" i="13"/>
  <c r="D13" i="16" l="1"/>
  <c r="C12" i="24"/>
  <c r="E115" i="13"/>
  <c r="D92" i="16"/>
  <c r="D123" i="13"/>
  <c r="N12" i="1"/>
  <c r="O12" i="1" s="1"/>
  <c r="D86" i="16"/>
  <c r="D44" i="13"/>
  <c r="N9" i="1"/>
  <c r="O9" i="1" s="1"/>
  <c r="B265" i="13"/>
  <c r="D268" i="13"/>
  <c r="B39" i="12"/>
  <c r="B49" i="12" s="1"/>
  <c r="B49" i="11"/>
  <c r="V15" i="1"/>
  <c r="N10" i="1"/>
  <c r="O10" i="1" s="1"/>
  <c r="N8" i="1"/>
  <c r="O8" i="1" s="1"/>
  <c r="B9" i="24"/>
  <c r="E243" i="13"/>
  <c r="E215" i="13"/>
  <c r="E259" i="13"/>
  <c r="E227" i="13"/>
  <c r="E226" i="13"/>
  <c r="F108" i="13"/>
  <c r="D14" i="24" s="1"/>
  <c r="D22" i="24"/>
  <c r="P21" i="19"/>
  <c r="F109" i="13"/>
  <c r="D10" i="24" s="1"/>
  <c r="P93" i="2"/>
  <c r="N93" i="2"/>
  <c r="P15" i="19"/>
  <c r="H14" i="19"/>
  <c r="C19" i="24"/>
  <c r="L14" i="19"/>
  <c r="E19" i="24"/>
  <c r="N13" i="19"/>
  <c r="F22" i="24"/>
  <c r="N14" i="19"/>
  <c r="F19" i="24"/>
  <c r="J14" i="19"/>
  <c r="D19" i="24"/>
  <c r="H13" i="19"/>
  <c r="C22" i="24"/>
  <c r="D17" i="18"/>
  <c r="H17" i="18" s="1"/>
  <c r="G27" i="24"/>
  <c r="F13" i="19"/>
  <c r="B22" i="24"/>
  <c r="F14" i="19"/>
  <c r="B19" i="24"/>
  <c r="F375" i="13"/>
  <c r="F376" i="13" s="1"/>
  <c r="R12" i="9"/>
  <c r="V12" i="9" s="1"/>
  <c r="R9" i="9"/>
  <c r="V9" i="9" s="1"/>
  <c r="E99" i="13"/>
  <c r="E100" i="13" s="1"/>
  <c r="E42" i="16"/>
  <c r="E43" i="16" s="1"/>
  <c r="Q8" i="9"/>
  <c r="Q13" i="9"/>
  <c r="U13" i="9" s="1"/>
  <c r="Q8" i="10"/>
  <c r="E94" i="13"/>
  <c r="E95" i="13" s="1"/>
  <c r="O49" i="1"/>
  <c r="F70" i="16"/>
  <c r="E92" i="13"/>
  <c r="E93" i="13" s="1"/>
  <c r="E59" i="13"/>
  <c r="E60" i="13" s="1"/>
  <c r="E101" i="13"/>
  <c r="E102" i="13" s="1"/>
  <c r="E63" i="16"/>
  <c r="E64" i="16" s="1"/>
  <c r="E70" i="16"/>
  <c r="E71" i="16" s="1"/>
  <c r="Q14" i="9"/>
  <c r="E87" i="13"/>
  <c r="E88" i="13" s="1"/>
  <c r="Q29" i="10"/>
  <c r="U29" i="10" s="1"/>
  <c r="E62" i="13"/>
  <c r="E63" i="13" s="1"/>
  <c r="Q30" i="10"/>
  <c r="U30" i="10" s="1"/>
  <c r="E56" i="16"/>
  <c r="E57" i="16" s="1"/>
  <c r="S12" i="9"/>
  <c r="W12" i="9" s="1"/>
  <c r="B35" i="11"/>
  <c r="B15" i="11" s="1"/>
  <c r="B16" i="11" s="1"/>
  <c r="E35" i="16"/>
  <c r="E36" i="16" s="1"/>
  <c r="Q9" i="9"/>
  <c r="Q12" i="9"/>
  <c r="B35" i="10"/>
  <c r="B15" i="10" s="1"/>
  <c r="B16" i="10" s="1"/>
  <c r="E28" i="16"/>
  <c r="E29" i="16" s="1"/>
  <c r="E54" i="16"/>
  <c r="E55" i="16" s="1"/>
  <c r="N24" i="1"/>
  <c r="O24" i="1" s="1"/>
  <c r="N29" i="1"/>
  <c r="O29" i="1" s="1"/>
  <c r="N31" i="1"/>
  <c r="O31" i="1" s="1"/>
  <c r="N33" i="1"/>
  <c r="O33" i="1" s="1"/>
  <c r="N25" i="1"/>
  <c r="O25" i="1" s="1"/>
  <c r="N21" i="1"/>
  <c r="O21" i="1" s="1"/>
  <c r="N20" i="1"/>
  <c r="O20" i="1" s="1"/>
  <c r="E375" i="13"/>
  <c r="E376" i="13" s="1"/>
  <c r="N26" i="1"/>
  <c r="O26" i="1" s="1"/>
  <c r="N22" i="1"/>
  <c r="O22" i="1" s="1"/>
  <c r="N28" i="1"/>
  <c r="O28" i="1" s="1"/>
  <c r="N30" i="1"/>
  <c r="O30" i="1" s="1"/>
  <c r="N32" i="1"/>
  <c r="O32" i="1" s="1"/>
  <c r="N34" i="1"/>
  <c r="O34" i="1" s="1"/>
  <c r="N27" i="1"/>
  <c r="O27" i="1" s="1"/>
  <c r="N23" i="1"/>
  <c r="O23" i="1" s="1"/>
  <c r="Q20" i="9"/>
  <c r="U20" i="9" s="1"/>
  <c r="M14" i="9"/>
  <c r="R14" i="9"/>
  <c r="V14" i="9" s="1"/>
  <c r="Q7" i="9"/>
  <c r="E80" i="13"/>
  <c r="E81" i="13" s="1"/>
  <c r="E11" i="24"/>
  <c r="E297" i="13"/>
  <c r="E298" i="13" s="1"/>
  <c r="E253" i="16"/>
  <c r="E254" i="16" s="1"/>
  <c r="E347" i="13"/>
  <c r="E348" i="13" s="1"/>
  <c r="E260" i="16"/>
  <c r="E261" i="16" s="1"/>
  <c r="F13" i="24"/>
  <c r="E13" i="24"/>
  <c r="E52" i="13"/>
  <c r="E53" i="13" s="1"/>
  <c r="E182" i="16"/>
  <c r="E183" i="16" s="1"/>
  <c r="E311" i="13"/>
  <c r="E312" i="13" s="1"/>
  <c r="E368" i="13"/>
  <c r="E369" i="13" s="1"/>
  <c r="H174" i="16"/>
  <c r="H119" i="16" s="1"/>
  <c r="H134" i="16" s="1"/>
  <c r="E49" i="16"/>
  <c r="E50" i="16" s="1"/>
  <c r="E73" i="13"/>
  <c r="E74" i="13" s="1"/>
  <c r="F111" i="13"/>
  <c r="D11" i="24" s="1"/>
  <c r="W15" i="1"/>
  <c r="F274" i="16"/>
  <c r="F275" i="16" s="1"/>
  <c r="Q33" i="10"/>
  <c r="U33" i="10" s="1"/>
  <c r="F368" i="13"/>
  <c r="F369" i="13" s="1"/>
  <c r="E325" i="13"/>
  <c r="E326" i="13" s="1"/>
  <c r="E190" i="16"/>
  <c r="W4" i="23"/>
  <c r="E290" i="13"/>
  <c r="E291" i="13" s="1"/>
  <c r="E240" i="16"/>
  <c r="Q11" i="10"/>
  <c r="U11" i="10" s="1"/>
  <c r="F281" i="16"/>
  <c r="F282" i="16" s="1"/>
  <c r="Q34" i="10"/>
  <c r="U34" i="10" s="1"/>
  <c r="E242" i="13"/>
  <c r="F182" i="16"/>
  <c r="Q20" i="10"/>
  <c r="U20" i="10" s="1"/>
  <c r="F105" i="13"/>
  <c r="Q10" i="9"/>
  <c r="Q11" i="9"/>
  <c r="U11" i="9" s="1"/>
  <c r="E196" i="16"/>
  <c r="Q22" i="9"/>
  <c r="U22" i="9" s="1"/>
  <c r="E231" i="16"/>
  <c r="Q27" i="9"/>
  <c r="U27" i="9" s="1"/>
  <c r="E265" i="16"/>
  <c r="R32" i="9"/>
  <c r="V32" i="9" s="1"/>
  <c r="E281" i="16"/>
  <c r="Q34" i="9"/>
  <c r="U34" i="9" s="1"/>
  <c r="E340" i="13"/>
  <c r="Q29" i="9"/>
  <c r="U29" i="9" s="1"/>
  <c r="E224" i="16"/>
  <c r="Q26" i="9"/>
  <c r="U26" i="9" s="1"/>
  <c r="Q31" i="9"/>
  <c r="U31" i="9" s="1"/>
  <c r="E203" i="16"/>
  <c r="Q23" i="9"/>
  <c r="U23" i="9" s="1"/>
  <c r="E187" i="16"/>
  <c r="R21" i="9"/>
  <c r="V21" i="9" s="1"/>
  <c r="E206" i="16"/>
  <c r="S24" i="9"/>
  <c r="W24" i="9" s="1"/>
  <c r="Q30" i="9"/>
  <c r="U30" i="9" s="1"/>
  <c r="E274" i="16"/>
  <c r="Q33" i="9"/>
  <c r="U33" i="9" s="1"/>
  <c r="E217" i="16"/>
  <c r="Q25" i="9"/>
  <c r="U25" i="9" s="1"/>
  <c r="E235" i="16"/>
  <c r="S28" i="9"/>
  <c r="W28" i="9" s="1"/>
  <c r="G174" i="16"/>
  <c r="G119" i="16" s="1"/>
  <c r="G134" i="16" s="1"/>
  <c r="G13" i="8"/>
  <c r="I100" i="16"/>
  <c r="F174" i="16"/>
  <c r="F118" i="16" s="1"/>
  <c r="F133" i="16" s="1"/>
  <c r="D174" i="16"/>
  <c r="D119" i="16" s="1"/>
  <c r="I105" i="16"/>
  <c r="I158" i="16"/>
  <c r="I154" i="16"/>
  <c r="I130" i="13"/>
  <c r="B7" i="24"/>
  <c r="B8" i="24"/>
  <c r="X15" i="1"/>
  <c r="B266" i="13"/>
  <c r="I136" i="13"/>
  <c r="I204" i="13"/>
  <c r="I131" i="13"/>
  <c r="H205" i="13"/>
  <c r="H149" i="13" s="1"/>
  <c r="I173" i="16"/>
  <c r="X35" i="1"/>
  <c r="W35" i="1"/>
  <c r="V35" i="1"/>
  <c r="F205" i="13"/>
  <c r="F150" i="13" s="1"/>
  <c r="I201" i="13"/>
  <c r="I203" i="13"/>
  <c r="I199" i="13"/>
  <c r="E205" i="13"/>
  <c r="I195" i="13"/>
  <c r="I191" i="13"/>
  <c r="I143" i="13"/>
  <c r="D205" i="13"/>
  <c r="G205" i="13"/>
  <c r="I197" i="13"/>
  <c r="I193" i="13"/>
  <c r="I189" i="13"/>
  <c r="E118" i="16"/>
  <c r="E119" i="16"/>
  <c r="I99" i="16"/>
  <c r="E362" i="13"/>
  <c r="E360" i="13"/>
  <c r="E355" i="13"/>
  <c r="E334" i="13"/>
  <c r="E332" i="13"/>
  <c r="E330" i="13"/>
  <c r="E319" i="13"/>
  <c r="E305" i="13"/>
  <c r="E303" i="13"/>
  <c r="E301" i="13"/>
  <c r="D121" i="13" l="1"/>
  <c r="F115" i="13"/>
  <c r="D120" i="13"/>
  <c r="D89" i="16"/>
  <c r="U8" i="10"/>
  <c r="F39" i="13"/>
  <c r="F8" i="16"/>
  <c r="E39" i="13"/>
  <c r="E8" i="16"/>
  <c r="E12" i="16"/>
  <c r="E43" i="13"/>
  <c r="U9" i="9"/>
  <c r="U8" i="9"/>
  <c r="U10" i="9"/>
  <c r="E123" i="13" s="1"/>
  <c r="U7" i="9"/>
  <c r="E28" i="13"/>
  <c r="U12" i="9"/>
  <c r="E36" i="13"/>
  <c r="U14" i="9"/>
  <c r="H107" i="13"/>
  <c r="G106" i="13"/>
  <c r="E14" i="24"/>
  <c r="P14" i="19"/>
  <c r="E15" i="13"/>
  <c r="P13" i="19"/>
  <c r="E27" i="13"/>
  <c r="F7" i="8"/>
  <c r="E156" i="13"/>
  <c r="C35" i="24" s="1"/>
  <c r="E125" i="16"/>
  <c r="E134" i="16" s="1"/>
  <c r="J48" i="2"/>
  <c r="E129" i="16"/>
  <c r="E160" i="13"/>
  <c r="R45" i="2"/>
  <c r="E12" i="13"/>
  <c r="E33" i="16"/>
  <c r="E34" i="16" s="1"/>
  <c r="E64" i="13"/>
  <c r="E65" i="13" s="1"/>
  <c r="F345" i="13"/>
  <c r="F346" i="13" s="1"/>
  <c r="G340" i="13"/>
  <c r="G341" i="13" s="1"/>
  <c r="F49" i="16"/>
  <c r="F50" i="16" s="1"/>
  <c r="F80" i="13"/>
  <c r="F81" i="13" s="1"/>
  <c r="E32" i="13"/>
  <c r="AC11" i="23"/>
  <c r="AC6" i="23"/>
  <c r="AC9" i="23"/>
  <c r="D12" i="24"/>
  <c r="E68" i="16"/>
  <c r="E69" i="16" s="1"/>
  <c r="E85" i="13"/>
  <c r="E86" i="13" s="1"/>
  <c r="D15" i="18"/>
  <c r="H15" i="18" s="1"/>
  <c r="G22" i="24"/>
  <c r="H164" i="13"/>
  <c r="F29" i="24"/>
  <c r="F165" i="13"/>
  <c r="D30" i="24"/>
  <c r="D16" i="18"/>
  <c r="H16" i="18" s="1"/>
  <c r="G19" i="24"/>
  <c r="F28" i="16"/>
  <c r="F29" i="16" s="1"/>
  <c r="G52" i="13"/>
  <c r="Q25" i="10"/>
  <c r="U25" i="10" s="1"/>
  <c r="Q26" i="10"/>
  <c r="U26" i="10" s="1"/>
  <c r="F21" i="16"/>
  <c r="F22" i="16" s="1"/>
  <c r="F338" i="13"/>
  <c r="F339" i="13" s="1"/>
  <c r="Q23" i="10"/>
  <c r="U23" i="10" s="1"/>
  <c r="F87" i="13"/>
  <c r="F88" i="13" s="1"/>
  <c r="F59" i="13"/>
  <c r="F60" i="13" s="1"/>
  <c r="Q31" i="10"/>
  <c r="U31" i="10" s="1"/>
  <c r="Z14" i="9"/>
  <c r="Z9" i="9"/>
  <c r="Z12" i="9"/>
  <c r="AA14" i="9"/>
  <c r="AA9" i="9"/>
  <c r="AA12" i="9"/>
  <c r="E50" i="13"/>
  <c r="E51" i="13" s="1"/>
  <c r="F295" i="13"/>
  <c r="F296" i="13" s="1"/>
  <c r="F61" i="16"/>
  <c r="E59" i="16"/>
  <c r="F94" i="13"/>
  <c r="F95" i="13" s="1"/>
  <c r="R13" i="9"/>
  <c r="V13" i="9" s="1"/>
  <c r="F54" i="16"/>
  <c r="Q12" i="10"/>
  <c r="F43" i="13" s="1"/>
  <c r="F56" i="16"/>
  <c r="F57" i="16" s="1"/>
  <c r="Q21" i="10"/>
  <c r="U21" i="10" s="1"/>
  <c r="Q7" i="10"/>
  <c r="U7" i="10" s="1"/>
  <c r="R31" i="10"/>
  <c r="V31" i="10" s="1"/>
  <c r="O49" i="9"/>
  <c r="F19" i="16"/>
  <c r="H118" i="16"/>
  <c r="H133" i="16" s="1"/>
  <c r="H135" i="16" s="1"/>
  <c r="F101" i="13"/>
  <c r="F102" i="13" s="1"/>
  <c r="G70" i="16"/>
  <c r="G71" i="16" s="1"/>
  <c r="Q26" i="12"/>
  <c r="U26" i="12" s="1"/>
  <c r="F99" i="13"/>
  <c r="F63" i="16"/>
  <c r="F64" i="16" s="1"/>
  <c r="Q13" i="10"/>
  <c r="U13" i="10" s="1"/>
  <c r="E97" i="13"/>
  <c r="E98" i="13" s="1"/>
  <c r="Q14" i="10"/>
  <c r="U14" i="10" s="1"/>
  <c r="M12" i="9"/>
  <c r="E16" i="13"/>
  <c r="F340" i="13"/>
  <c r="F341" i="13" s="1"/>
  <c r="F203" i="16"/>
  <c r="F204" i="16" s="1"/>
  <c r="E55" i="13"/>
  <c r="E56" i="13" s="1"/>
  <c r="E61" i="16"/>
  <c r="E62" i="16" s="1"/>
  <c r="M13" i="9"/>
  <c r="M9" i="9"/>
  <c r="F217" i="16"/>
  <c r="F218" i="16" s="1"/>
  <c r="F318" i="13"/>
  <c r="F319" i="13" s="1"/>
  <c r="R8" i="9"/>
  <c r="S9" i="9"/>
  <c r="E26" i="16"/>
  <c r="E27" i="16" s="1"/>
  <c r="E31" i="16"/>
  <c r="E32" i="16" s="1"/>
  <c r="E52" i="16"/>
  <c r="E53" i="16" s="1"/>
  <c r="E57" i="13"/>
  <c r="E58" i="13" s="1"/>
  <c r="F224" i="16"/>
  <c r="F225" i="16" s="1"/>
  <c r="F311" i="13"/>
  <c r="F312" i="13" s="1"/>
  <c r="F297" i="13"/>
  <c r="F298" i="13" s="1"/>
  <c r="F354" i="13"/>
  <c r="F355" i="13" s="1"/>
  <c r="F253" i="16"/>
  <c r="F254" i="16" s="1"/>
  <c r="F347" i="13"/>
  <c r="F348" i="13" s="1"/>
  <c r="O15" i="1"/>
  <c r="O16" i="1" s="1"/>
  <c r="O50" i="1" s="1"/>
  <c r="F260" i="16"/>
  <c r="F261" i="16" s="1"/>
  <c r="I79" i="16"/>
  <c r="E26" i="13"/>
  <c r="F189" i="16"/>
  <c r="F190" i="16" s="1"/>
  <c r="E83" i="13"/>
  <c r="E84" i="13" s="1"/>
  <c r="E35" i="13"/>
  <c r="I110" i="13"/>
  <c r="G13" i="24" s="1"/>
  <c r="E19" i="16"/>
  <c r="E20" i="16" s="1"/>
  <c r="R7" i="9"/>
  <c r="E37" i="13" s="1"/>
  <c r="S14" i="9"/>
  <c r="W14" i="9" s="1"/>
  <c r="R11" i="10"/>
  <c r="V11" i="10" s="1"/>
  <c r="E66" i="16"/>
  <c r="E67" i="16" s="1"/>
  <c r="O35" i="1"/>
  <c r="F309" i="13"/>
  <c r="F310" i="13" s="1"/>
  <c r="F222" i="16"/>
  <c r="F223" i="16" s="1"/>
  <c r="E180" i="16"/>
  <c r="E181" i="16" s="1"/>
  <c r="E211" i="13"/>
  <c r="R20" i="9"/>
  <c r="V20" i="9" s="1"/>
  <c r="F52" i="13"/>
  <c r="F53" i="13" s="1"/>
  <c r="E8" i="13"/>
  <c r="I80" i="16"/>
  <c r="G118" i="16"/>
  <c r="G133" i="16" s="1"/>
  <c r="G135" i="16" s="1"/>
  <c r="F119" i="16"/>
  <c r="F12" i="13"/>
  <c r="R8" i="10"/>
  <c r="F26" i="16"/>
  <c r="F27" i="16" s="1"/>
  <c r="F57" i="13"/>
  <c r="F58" i="13" s="1"/>
  <c r="F71" i="16"/>
  <c r="R30" i="10"/>
  <c r="V30" i="10" s="1"/>
  <c r="F272" i="16"/>
  <c r="F273" i="16" s="1"/>
  <c r="R33" i="10"/>
  <c r="V33" i="10" s="1"/>
  <c r="F366" i="13"/>
  <c r="F367" i="13" s="1"/>
  <c r="F279" i="16"/>
  <c r="F280" i="16" s="1"/>
  <c r="R34" i="10"/>
  <c r="V34" i="10" s="1"/>
  <c r="F373" i="13"/>
  <c r="F374" i="13" s="1"/>
  <c r="F201" i="16"/>
  <c r="F202" i="16" s="1"/>
  <c r="R23" i="10"/>
  <c r="V23" i="10" s="1"/>
  <c r="R29" i="10"/>
  <c r="V29" i="10" s="1"/>
  <c r="F85" i="13"/>
  <c r="Q9" i="10"/>
  <c r="U9" i="10" s="1"/>
  <c r="F35" i="16"/>
  <c r="F66" i="13"/>
  <c r="E20" i="13"/>
  <c r="G105" i="13"/>
  <c r="F183" i="16"/>
  <c r="Q30" i="11"/>
  <c r="U30" i="11" s="1"/>
  <c r="G49" i="16"/>
  <c r="G50" i="16" s="1"/>
  <c r="Q11" i="11"/>
  <c r="U11" i="11" s="1"/>
  <c r="G80" i="13"/>
  <c r="F251" i="13"/>
  <c r="G231" i="16"/>
  <c r="G232" i="16" s="1"/>
  <c r="Q27" i="11"/>
  <c r="U27" i="11" s="1"/>
  <c r="G325" i="13"/>
  <c r="G326" i="13" s="1"/>
  <c r="G28" i="16"/>
  <c r="Q8" i="11"/>
  <c r="G59" i="13"/>
  <c r="G182" i="16"/>
  <c r="G183" i="16" s="1"/>
  <c r="Q20" i="11"/>
  <c r="U20" i="11" s="1"/>
  <c r="F210" i="16"/>
  <c r="Q24" i="10"/>
  <c r="U24" i="10" s="1"/>
  <c r="F304" i="13"/>
  <c r="F247" i="13"/>
  <c r="F267" i="13"/>
  <c r="F263" i="13"/>
  <c r="G217" i="16"/>
  <c r="G218" i="16" s="1"/>
  <c r="Q25" i="11"/>
  <c r="U25" i="11" s="1"/>
  <c r="G311" i="13"/>
  <c r="Q26" i="11"/>
  <c r="U26" i="11" s="1"/>
  <c r="G203" i="16"/>
  <c r="G204" i="16" s="1"/>
  <c r="Q23" i="11"/>
  <c r="U23" i="11" s="1"/>
  <c r="G297" i="13"/>
  <c r="E15" i="24"/>
  <c r="G196" i="16"/>
  <c r="G197" i="16" s="1"/>
  <c r="Q22" i="11"/>
  <c r="U22" i="11" s="1"/>
  <c r="G290" i="13"/>
  <c r="G291" i="13" s="1"/>
  <c r="F180" i="16"/>
  <c r="R20" i="10"/>
  <c r="V20" i="10" s="1"/>
  <c r="M20" i="10"/>
  <c r="G189" i="16"/>
  <c r="G190" i="16" s="1"/>
  <c r="Q21" i="11"/>
  <c r="U21" i="11" s="1"/>
  <c r="F267" i="16"/>
  <c r="Q32" i="10"/>
  <c r="U32" i="10" s="1"/>
  <c r="F361" i="13"/>
  <c r="F24" i="13"/>
  <c r="F91" i="16"/>
  <c r="F231" i="16"/>
  <c r="F232" i="16" s="1"/>
  <c r="Q27" i="10"/>
  <c r="U27" i="10" s="1"/>
  <c r="F325" i="13"/>
  <c r="Q12" i="11"/>
  <c r="G43" i="13" s="1"/>
  <c r="G87" i="13"/>
  <c r="G56" i="16"/>
  <c r="F42" i="16"/>
  <c r="Q10" i="10"/>
  <c r="U10" i="10" s="1"/>
  <c r="F123" i="13" s="1"/>
  <c r="F73" i="13"/>
  <c r="Q7" i="11"/>
  <c r="U7" i="11" s="1"/>
  <c r="F239" i="16"/>
  <c r="Q28" i="10"/>
  <c r="U28" i="10" s="1"/>
  <c r="F333" i="13"/>
  <c r="R21" i="10"/>
  <c r="V21" i="10" s="1"/>
  <c r="M21" i="10"/>
  <c r="G274" i="16"/>
  <c r="G275" i="16" s="1"/>
  <c r="Q33" i="11"/>
  <c r="U33" i="11" s="1"/>
  <c r="G368" i="13"/>
  <c r="Q29" i="11"/>
  <c r="U29" i="11" s="1"/>
  <c r="E40" i="16"/>
  <c r="R10" i="9"/>
  <c r="M10" i="9"/>
  <c r="E41" i="13" s="1"/>
  <c r="E71" i="13"/>
  <c r="F211" i="13"/>
  <c r="Q31" i="11"/>
  <c r="U31" i="11" s="1"/>
  <c r="G354" i="13"/>
  <c r="G260" i="16"/>
  <c r="G253" i="16"/>
  <c r="G347" i="13"/>
  <c r="F196" i="16"/>
  <c r="F197" i="16" s="1"/>
  <c r="Q22" i="10"/>
  <c r="U22" i="10" s="1"/>
  <c r="F290" i="13"/>
  <c r="X4" i="23"/>
  <c r="E10" i="24"/>
  <c r="G281" i="16"/>
  <c r="G282" i="16" s="1"/>
  <c r="Q34" i="11"/>
  <c r="U34" i="11" s="1"/>
  <c r="G375" i="13"/>
  <c r="E236" i="16"/>
  <c r="E272" i="16"/>
  <c r="R33" i="9"/>
  <c r="V33" i="9" s="1"/>
  <c r="M33" i="10"/>
  <c r="E366" i="13"/>
  <c r="E251" i="13"/>
  <c r="E204" i="16"/>
  <c r="E244" i="16"/>
  <c r="R29" i="9"/>
  <c r="V29" i="9" s="1"/>
  <c r="E338" i="13"/>
  <c r="E263" i="16"/>
  <c r="S32" i="9"/>
  <c r="W32" i="9" s="1"/>
  <c r="E357" i="13"/>
  <c r="E239" i="13"/>
  <c r="E197" i="16"/>
  <c r="E231" i="13"/>
  <c r="E263" i="13"/>
  <c r="E225" i="13"/>
  <c r="N24" i="9"/>
  <c r="O24" i="9" s="1"/>
  <c r="E214" i="13"/>
  <c r="E255" i="13"/>
  <c r="E222" i="16"/>
  <c r="R26" i="9"/>
  <c r="V26" i="9" s="1"/>
  <c r="E316" i="13"/>
  <c r="E247" i="13"/>
  <c r="E279" i="16"/>
  <c r="R34" i="9"/>
  <c r="V34" i="9" s="1"/>
  <c r="E373" i="13"/>
  <c r="E258" i="13"/>
  <c r="E232" i="16"/>
  <c r="AA11" i="9"/>
  <c r="R11" i="9"/>
  <c r="V11" i="9" s="1"/>
  <c r="E47" i="16"/>
  <c r="E78" i="13"/>
  <c r="E215" i="16"/>
  <c r="R25" i="9"/>
  <c r="V25" i="9" s="1"/>
  <c r="E309" i="13"/>
  <c r="E275" i="16"/>
  <c r="E207" i="16"/>
  <c r="E185" i="16"/>
  <c r="S21" i="9"/>
  <c r="W21" i="9" s="1"/>
  <c r="E279" i="13"/>
  <c r="E280" i="13" s="1"/>
  <c r="E201" i="16"/>
  <c r="R23" i="9"/>
  <c r="V23" i="9" s="1"/>
  <c r="M23" i="10"/>
  <c r="E295" i="13"/>
  <c r="E258" i="16"/>
  <c r="R31" i="9"/>
  <c r="V31" i="9" s="1"/>
  <c r="E352" i="13"/>
  <c r="E235" i="13"/>
  <c r="E341" i="13"/>
  <c r="E267" i="13"/>
  <c r="E266" i="16"/>
  <c r="E194" i="16"/>
  <c r="R22" i="9"/>
  <c r="V22" i="9" s="1"/>
  <c r="E288" i="13"/>
  <c r="E24" i="13"/>
  <c r="Q15" i="9"/>
  <c r="E241" i="13"/>
  <c r="N28" i="9"/>
  <c r="O28" i="9" s="1"/>
  <c r="S13" i="9"/>
  <c r="W13" i="9" s="1"/>
  <c r="E218" i="16"/>
  <c r="E251" i="16"/>
  <c r="M30" i="10"/>
  <c r="R30" i="9"/>
  <c r="V30" i="9" s="1"/>
  <c r="E345" i="13"/>
  <c r="E188" i="16"/>
  <c r="E223" i="13"/>
  <c r="E225" i="16"/>
  <c r="E282" i="16"/>
  <c r="E229" i="16"/>
  <c r="R27" i="9"/>
  <c r="V27" i="9" s="1"/>
  <c r="E323" i="13"/>
  <c r="E219" i="13"/>
  <c r="Q35" i="9"/>
  <c r="H150" i="13"/>
  <c r="D118" i="16"/>
  <c r="D133" i="16" s="1"/>
  <c r="I174" i="16"/>
  <c r="F149" i="13"/>
  <c r="D29" i="24" s="1"/>
  <c r="D117" i="13"/>
  <c r="D90" i="16"/>
  <c r="E149" i="13"/>
  <c r="E150" i="13"/>
  <c r="G149" i="13"/>
  <c r="G150" i="13"/>
  <c r="D149" i="13"/>
  <c r="I205" i="13"/>
  <c r="D150" i="13"/>
  <c r="E12" i="24" l="1"/>
  <c r="G115" i="13"/>
  <c r="E9" i="16"/>
  <c r="E40" i="13"/>
  <c r="U8" i="11"/>
  <c r="G39" i="13"/>
  <c r="G8" i="16"/>
  <c r="U12" i="10"/>
  <c r="F12" i="16"/>
  <c r="U12" i="11"/>
  <c r="G12" i="16"/>
  <c r="F92" i="16"/>
  <c r="E92" i="16"/>
  <c r="V8" i="10"/>
  <c r="E6" i="16"/>
  <c r="V10" i="9"/>
  <c r="D125" i="13"/>
  <c r="F231" i="13"/>
  <c r="F28" i="13"/>
  <c r="F215" i="13"/>
  <c r="F235" i="13"/>
  <c r="V7" i="9"/>
  <c r="F8" i="13"/>
  <c r="H106" i="13"/>
  <c r="I106" i="13" s="1"/>
  <c r="I77" i="16"/>
  <c r="F14" i="24"/>
  <c r="E14" i="13"/>
  <c r="W9" i="9"/>
  <c r="N9" i="9" s="1"/>
  <c r="O9" i="9" s="1"/>
  <c r="E11" i="13"/>
  <c r="V8" i="9"/>
  <c r="I107" i="13"/>
  <c r="F11" i="13"/>
  <c r="F223" i="13"/>
  <c r="F255" i="13"/>
  <c r="F187" i="16"/>
  <c r="F188" i="16" s="1"/>
  <c r="C39" i="24"/>
  <c r="I160" i="13"/>
  <c r="G39" i="24" s="1"/>
  <c r="E163" i="13"/>
  <c r="I129" i="16"/>
  <c r="E132" i="16"/>
  <c r="I132" i="16" s="1"/>
  <c r="E133" i="16"/>
  <c r="E135" i="16" s="1"/>
  <c r="F251" i="16"/>
  <c r="F252" i="16" s="1"/>
  <c r="G21" i="16"/>
  <c r="G22" i="16" s="1"/>
  <c r="F92" i="13"/>
  <c r="F93" i="13" s="1"/>
  <c r="G54" i="16"/>
  <c r="G55" i="16" s="1"/>
  <c r="R13" i="10"/>
  <c r="AC10" i="23"/>
  <c r="Z7" i="9"/>
  <c r="AC4" i="23"/>
  <c r="AC5" i="23"/>
  <c r="AC7" i="23"/>
  <c r="AC8" i="23"/>
  <c r="F244" i="16"/>
  <c r="F245" i="16" s="1"/>
  <c r="I111" i="13"/>
  <c r="G11" i="24" s="1"/>
  <c r="F11" i="24"/>
  <c r="E90" i="13"/>
  <c r="E91" i="13" s="1"/>
  <c r="G164" i="13"/>
  <c r="E29" i="24"/>
  <c r="E165" i="13"/>
  <c r="C30" i="24"/>
  <c r="B30" i="24"/>
  <c r="D164" i="13"/>
  <c r="B29" i="24"/>
  <c r="E164" i="13"/>
  <c r="C29" i="24"/>
  <c r="G165" i="13"/>
  <c r="E30" i="24"/>
  <c r="H165" i="13"/>
  <c r="H166" i="13" s="1"/>
  <c r="F30" i="24"/>
  <c r="G318" i="13"/>
  <c r="G319" i="13" s="1"/>
  <c r="H224" i="16"/>
  <c r="H225" i="16" s="1"/>
  <c r="M13" i="11"/>
  <c r="Z23" i="10"/>
  <c r="AD15" i="23" s="1"/>
  <c r="Z30" i="10"/>
  <c r="AD22" i="23" s="1"/>
  <c r="Z33" i="10"/>
  <c r="AD25" i="23" s="1"/>
  <c r="Z21" i="10"/>
  <c r="AD13" i="23" s="1"/>
  <c r="Z20" i="10"/>
  <c r="AD12" i="23" s="1"/>
  <c r="Z13" i="9"/>
  <c r="Z11" i="9"/>
  <c r="Z8" i="9"/>
  <c r="Z10" i="9"/>
  <c r="AA7" i="9"/>
  <c r="AA8" i="9"/>
  <c r="AA10" i="9"/>
  <c r="AA13" i="9"/>
  <c r="M7" i="9"/>
  <c r="E10" i="16" s="1"/>
  <c r="F258" i="16"/>
  <c r="F259" i="16" s="1"/>
  <c r="F352" i="13"/>
  <c r="F353" i="13" s="1"/>
  <c r="H318" i="13"/>
  <c r="H319" i="13" s="1"/>
  <c r="M31" i="10"/>
  <c r="E31" i="13"/>
  <c r="M14" i="10"/>
  <c r="Z11" i="10"/>
  <c r="AD8" i="23" s="1"/>
  <c r="S13" i="10"/>
  <c r="W13" i="10" s="1"/>
  <c r="R12" i="10"/>
  <c r="M12" i="10"/>
  <c r="N14" i="9"/>
  <c r="O14" i="9" s="1"/>
  <c r="M26" i="10"/>
  <c r="G224" i="16"/>
  <c r="G225" i="16" s="1"/>
  <c r="S25" i="10"/>
  <c r="W25" i="10" s="1"/>
  <c r="F68" i="16"/>
  <c r="F69" i="16" s="1"/>
  <c r="M7" i="10"/>
  <c r="F50" i="13"/>
  <c r="F51" i="13" s="1"/>
  <c r="R7" i="10"/>
  <c r="F37" i="13" s="1"/>
  <c r="R26" i="10"/>
  <c r="G68" i="16"/>
  <c r="G69" i="16" s="1"/>
  <c r="F36" i="13"/>
  <c r="E34" i="13"/>
  <c r="R25" i="10"/>
  <c r="V25" i="10" s="1"/>
  <c r="R14" i="10"/>
  <c r="V14" i="10" s="1"/>
  <c r="F32" i="13"/>
  <c r="M11" i="10"/>
  <c r="G63" i="16"/>
  <c r="G64" i="16" s="1"/>
  <c r="Q13" i="11"/>
  <c r="U13" i="11" s="1"/>
  <c r="G94" i="13"/>
  <c r="G95" i="13" s="1"/>
  <c r="Q14" i="11"/>
  <c r="U14" i="11" s="1"/>
  <c r="G101" i="13"/>
  <c r="G102" i="13" s="1"/>
  <c r="M13" i="10"/>
  <c r="S8" i="9"/>
  <c r="E24" i="16"/>
  <c r="E25" i="16" s="1"/>
  <c r="M11" i="9"/>
  <c r="F47" i="16"/>
  <c r="F48" i="16" s="1"/>
  <c r="M8" i="9"/>
  <c r="H5" i="8"/>
  <c r="N12" i="9"/>
  <c r="O12" i="9" s="1"/>
  <c r="F78" i="13"/>
  <c r="F79" i="13" s="1"/>
  <c r="F316" i="13"/>
  <c r="F317" i="13" s="1"/>
  <c r="M29" i="10"/>
  <c r="E48" i="13"/>
  <c r="E49" i="13" s="1"/>
  <c r="E7" i="13"/>
  <c r="U15" i="9"/>
  <c r="F215" i="16"/>
  <c r="F216" i="16" s="1"/>
  <c r="E210" i="13"/>
  <c r="E272" i="13"/>
  <c r="E273" i="13" s="1"/>
  <c r="S20" i="9"/>
  <c r="W20" i="9" s="1"/>
  <c r="E178" i="16"/>
  <c r="E179" i="16" s="1"/>
  <c r="S7" i="9"/>
  <c r="E38" i="13" s="1"/>
  <c r="E17" i="16"/>
  <c r="E18" i="16" s="1"/>
  <c r="I118" i="16"/>
  <c r="F134" i="16"/>
  <c r="F135" i="16" s="1"/>
  <c r="I119" i="16"/>
  <c r="D94" i="16"/>
  <c r="D96" i="16" s="1"/>
  <c r="S14" i="10"/>
  <c r="W14" i="10" s="1"/>
  <c r="R14" i="11"/>
  <c r="V14" i="11" s="1"/>
  <c r="F100" i="13"/>
  <c r="F249" i="16"/>
  <c r="F250" i="16" s="1"/>
  <c r="S30" i="10"/>
  <c r="W30" i="10" s="1"/>
  <c r="F343" i="13"/>
  <c r="F344" i="13" s="1"/>
  <c r="F199" i="16"/>
  <c r="F200" i="16" s="1"/>
  <c r="S23" i="10"/>
  <c r="W23" i="10" s="1"/>
  <c r="F293" i="13"/>
  <c r="F294" i="13" s="1"/>
  <c r="S11" i="10"/>
  <c r="W11" i="10" s="1"/>
  <c r="F270" i="16"/>
  <c r="F271" i="16" s="1"/>
  <c r="S33" i="10"/>
  <c r="W33" i="10" s="1"/>
  <c r="F364" i="13"/>
  <c r="F365" i="13" s="1"/>
  <c r="G229" i="16"/>
  <c r="G230" i="16" s="1"/>
  <c r="R27" i="11"/>
  <c r="V27" i="11" s="1"/>
  <c r="G323" i="13"/>
  <c r="G324" i="13" s="1"/>
  <c r="G376" i="13"/>
  <c r="F62" i="16"/>
  <c r="G210" i="16"/>
  <c r="G211" i="16" s="1"/>
  <c r="Q24" i="11"/>
  <c r="U24" i="11" s="1"/>
  <c r="G304" i="13"/>
  <c r="G305" i="13" s="1"/>
  <c r="G261" i="16"/>
  <c r="E19" i="13"/>
  <c r="G263" i="13"/>
  <c r="F214" i="13"/>
  <c r="F237" i="16"/>
  <c r="R28" i="10"/>
  <c r="V28" i="10" s="1"/>
  <c r="M28" i="10"/>
  <c r="F331" i="13"/>
  <c r="F74" i="13"/>
  <c r="G57" i="16"/>
  <c r="G28" i="13"/>
  <c r="F239" i="13"/>
  <c r="F268" i="16"/>
  <c r="Q31" i="12"/>
  <c r="U31" i="12" s="1"/>
  <c r="H253" i="16"/>
  <c r="H254" i="16" s="1"/>
  <c r="H260" i="16"/>
  <c r="H261" i="16" s="1"/>
  <c r="H347" i="13"/>
  <c r="H348" i="13" s="1"/>
  <c r="H354" i="13"/>
  <c r="H355" i="13" s="1"/>
  <c r="F181" i="16"/>
  <c r="F20" i="16"/>
  <c r="G201" i="16"/>
  <c r="G202" i="16" s="1"/>
  <c r="Z23" i="11"/>
  <c r="AE15" i="23" s="1"/>
  <c r="R23" i="11"/>
  <c r="V23" i="11" s="1"/>
  <c r="G295" i="13"/>
  <c r="G296" i="13" s="1"/>
  <c r="G35" i="16"/>
  <c r="G36" i="16" s="1"/>
  <c r="G66" i="13"/>
  <c r="G67" i="13" s="1"/>
  <c r="Q9" i="11"/>
  <c r="U9" i="11" s="1"/>
  <c r="R25" i="11"/>
  <c r="V25" i="11" s="1"/>
  <c r="F305" i="13"/>
  <c r="G29" i="16"/>
  <c r="G47" i="16"/>
  <c r="G48" i="16" s="1"/>
  <c r="Z11" i="11"/>
  <c r="AE8" i="23" s="1"/>
  <c r="R11" i="11"/>
  <c r="V11" i="11" s="1"/>
  <c r="G78" i="13"/>
  <c r="G79" i="13" s="1"/>
  <c r="H196" i="16"/>
  <c r="H197" i="16" s="1"/>
  <c r="Q22" i="12"/>
  <c r="U22" i="12" s="1"/>
  <c r="H290" i="13"/>
  <c r="H291" i="13" s="1"/>
  <c r="H203" i="16"/>
  <c r="Q23" i="12"/>
  <c r="U23" i="12" s="1"/>
  <c r="H297" i="13"/>
  <c r="H298" i="13" s="1"/>
  <c r="F36" i="16"/>
  <c r="F86" i="13"/>
  <c r="G267" i="13"/>
  <c r="F291" i="13"/>
  <c r="G355" i="13"/>
  <c r="H189" i="16"/>
  <c r="Q21" i="12"/>
  <c r="U21" i="12" s="1"/>
  <c r="E41" i="16"/>
  <c r="F240" i="16"/>
  <c r="G53" i="13"/>
  <c r="M10" i="10"/>
  <c r="R10" i="10"/>
  <c r="F40" i="16"/>
  <c r="F41" i="16" s="1"/>
  <c r="F71" i="13"/>
  <c r="F72" i="13" s="1"/>
  <c r="G88" i="13"/>
  <c r="F362" i="13"/>
  <c r="F178" i="16"/>
  <c r="S20" i="10"/>
  <c r="W20" i="10" s="1"/>
  <c r="F272" i="13"/>
  <c r="F273" i="13" s="1"/>
  <c r="G222" i="16"/>
  <c r="G223" i="16" s="1"/>
  <c r="R26" i="11"/>
  <c r="V26" i="11" s="1"/>
  <c r="G316" i="13"/>
  <c r="G317" i="13" s="1"/>
  <c r="G231" i="13"/>
  <c r="F208" i="16"/>
  <c r="R24" i="10"/>
  <c r="V24" i="10" s="1"/>
  <c r="M24" i="10"/>
  <c r="F302" i="13"/>
  <c r="G211" i="13"/>
  <c r="Q30" i="12"/>
  <c r="U30" i="12" s="1"/>
  <c r="G60" i="13"/>
  <c r="H274" i="16"/>
  <c r="Q33" i="12"/>
  <c r="U33" i="12" s="1"/>
  <c r="H368" i="13"/>
  <c r="H369" i="13" s="1"/>
  <c r="H281" i="16"/>
  <c r="Q34" i="12"/>
  <c r="U34" i="12" s="1"/>
  <c r="H375" i="13"/>
  <c r="H376" i="13" s="1"/>
  <c r="G24" i="13"/>
  <c r="G267" i="16"/>
  <c r="G268" i="16" s="1"/>
  <c r="Q32" i="11"/>
  <c r="U32" i="11" s="1"/>
  <c r="G361" i="13"/>
  <c r="G362" i="13" s="1"/>
  <c r="H105" i="13"/>
  <c r="F16" i="13"/>
  <c r="F246" i="13"/>
  <c r="F266" i="13"/>
  <c r="F262" i="13"/>
  <c r="G279" i="16"/>
  <c r="G280" i="16" s="1"/>
  <c r="Z34" i="11"/>
  <c r="AE26" i="23" s="1"/>
  <c r="R34" i="11"/>
  <c r="V34" i="11" s="1"/>
  <c r="G373" i="13"/>
  <c r="G374" i="13" s="1"/>
  <c r="I78" i="16"/>
  <c r="Y4" i="23"/>
  <c r="F10" i="24"/>
  <c r="F194" i="16"/>
  <c r="F195" i="16" s="1"/>
  <c r="M22" i="10"/>
  <c r="R22" i="10"/>
  <c r="V22" i="10" s="1"/>
  <c r="F288" i="13"/>
  <c r="F289" i="13" s="1"/>
  <c r="G348" i="13"/>
  <c r="G255" i="13"/>
  <c r="E72" i="13"/>
  <c r="G244" i="16"/>
  <c r="G245" i="16" s="1"/>
  <c r="R29" i="11"/>
  <c r="V29" i="11" s="1"/>
  <c r="G338" i="13"/>
  <c r="G339" i="13" s="1"/>
  <c r="G369" i="13"/>
  <c r="F334" i="13"/>
  <c r="F20" i="13"/>
  <c r="H56" i="16"/>
  <c r="H57" i="16" s="1"/>
  <c r="Q12" i="12"/>
  <c r="H43" i="13" s="1"/>
  <c r="H87" i="13"/>
  <c r="H88" i="13" s="1"/>
  <c r="F326" i="13"/>
  <c r="F259" i="13"/>
  <c r="Q20" i="12"/>
  <c r="U20" i="12" s="1"/>
  <c r="H182" i="16"/>
  <c r="H183" i="16" s="1"/>
  <c r="G187" i="16"/>
  <c r="Z21" i="11"/>
  <c r="AE13" i="23" s="1"/>
  <c r="R21" i="11"/>
  <c r="V21" i="11" s="1"/>
  <c r="H28" i="16"/>
  <c r="H29" i="16" s="1"/>
  <c r="Q8" i="12"/>
  <c r="H59" i="13"/>
  <c r="H60" i="13" s="1"/>
  <c r="G298" i="13"/>
  <c r="G235" i="13"/>
  <c r="F227" i="13"/>
  <c r="G180" i="16"/>
  <c r="G181" i="16" s="1"/>
  <c r="R20" i="11"/>
  <c r="V20" i="11" s="1"/>
  <c r="Z20" i="11"/>
  <c r="AE12" i="23" s="1"/>
  <c r="Q15" i="10"/>
  <c r="G12" i="13"/>
  <c r="H340" i="13"/>
  <c r="Q29" i="12"/>
  <c r="U29" i="12" s="1"/>
  <c r="G239" i="16"/>
  <c r="G240" i="16" s="1"/>
  <c r="Q28" i="11"/>
  <c r="U28" i="11" s="1"/>
  <c r="G333" i="13"/>
  <c r="G334" i="13" s="1"/>
  <c r="Q11" i="12"/>
  <c r="U11" i="12" s="1"/>
  <c r="H80" i="13"/>
  <c r="H81" i="13" s="1"/>
  <c r="H49" i="16"/>
  <c r="G251" i="13"/>
  <c r="H231" i="16"/>
  <c r="Q27" i="12"/>
  <c r="U27" i="12" s="1"/>
  <c r="H325" i="13"/>
  <c r="H326" i="13" s="1"/>
  <c r="F33" i="16"/>
  <c r="R9" i="10"/>
  <c r="V9" i="10" s="1"/>
  <c r="M9" i="10"/>
  <c r="F64" i="13"/>
  <c r="H235" i="13"/>
  <c r="F222" i="13"/>
  <c r="F23" i="13"/>
  <c r="F254" i="13"/>
  <c r="F250" i="13"/>
  <c r="F219" i="13"/>
  <c r="G254" i="16"/>
  <c r="G258" i="16"/>
  <c r="G259" i="16" s="1"/>
  <c r="R31" i="11"/>
  <c r="V31" i="11" s="1"/>
  <c r="G352" i="13"/>
  <c r="G353" i="13" s="1"/>
  <c r="Q35" i="10"/>
  <c r="E69" i="13"/>
  <c r="S10" i="9"/>
  <c r="E38" i="16"/>
  <c r="G247" i="13"/>
  <c r="G272" i="16"/>
  <c r="G273" i="16" s="1"/>
  <c r="Z33" i="11"/>
  <c r="AE25" i="23" s="1"/>
  <c r="R33" i="11"/>
  <c r="V33" i="11" s="1"/>
  <c r="G366" i="13"/>
  <c r="G367" i="13" s="1"/>
  <c r="F185" i="16"/>
  <c r="F186" i="16" s="1"/>
  <c r="S21" i="10"/>
  <c r="W21" i="10" s="1"/>
  <c r="F279" i="13"/>
  <c r="F280" i="13" s="1"/>
  <c r="F243" i="13"/>
  <c r="H217" i="16"/>
  <c r="Q25" i="12"/>
  <c r="U25" i="12" s="1"/>
  <c r="H311" i="13"/>
  <c r="H312" i="13" s="1"/>
  <c r="G8" i="13"/>
  <c r="F43" i="16"/>
  <c r="Z12" i="11"/>
  <c r="AE9" i="23" s="1"/>
  <c r="R12" i="11"/>
  <c r="V12" i="11" s="1"/>
  <c r="G85" i="13"/>
  <c r="G86" i="13" s="1"/>
  <c r="F229" i="16"/>
  <c r="F230" i="16" s="1"/>
  <c r="R27" i="10"/>
  <c r="V27" i="10" s="1"/>
  <c r="M27" i="10"/>
  <c r="F323" i="13"/>
  <c r="F324" i="13" s="1"/>
  <c r="F265" i="16"/>
  <c r="R32" i="10"/>
  <c r="V32" i="10" s="1"/>
  <c r="M32" i="10"/>
  <c r="F359" i="13"/>
  <c r="G215" i="13"/>
  <c r="F210" i="13"/>
  <c r="G219" i="13"/>
  <c r="I81" i="16"/>
  <c r="G223" i="13"/>
  <c r="G312" i="13"/>
  <c r="H21" i="16"/>
  <c r="H22" i="16" s="1"/>
  <c r="Q7" i="12"/>
  <c r="U7" i="12" s="1"/>
  <c r="H52" i="13"/>
  <c r="H53" i="13" s="1"/>
  <c r="F211" i="16"/>
  <c r="G26" i="16"/>
  <c r="M8" i="11"/>
  <c r="R8" i="11"/>
  <c r="G57" i="13"/>
  <c r="G239" i="13"/>
  <c r="Q10" i="11"/>
  <c r="U10" i="11" s="1"/>
  <c r="G123" i="13" s="1"/>
  <c r="G42" i="16"/>
  <c r="G43" i="16" s="1"/>
  <c r="G73" i="13"/>
  <c r="G74" i="13" s="1"/>
  <c r="G81" i="13"/>
  <c r="G251" i="16"/>
  <c r="G252" i="16" s="1"/>
  <c r="Z30" i="11"/>
  <c r="AE22" i="23" s="1"/>
  <c r="R30" i="11"/>
  <c r="V30" i="11" s="1"/>
  <c r="G345" i="13"/>
  <c r="G346" i="13" s="1"/>
  <c r="F67" i="13"/>
  <c r="F55" i="16"/>
  <c r="E230" i="16"/>
  <c r="E250" i="13"/>
  <c r="E195" i="16"/>
  <c r="E259" i="16"/>
  <c r="E202" i="16"/>
  <c r="E310" i="13"/>
  <c r="E23" i="13"/>
  <c r="E277" i="16"/>
  <c r="S34" i="9"/>
  <c r="W34" i="9" s="1"/>
  <c r="E371" i="13"/>
  <c r="E317" i="13"/>
  <c r="E264" i="16"/>
  <c r="E245" i="16"/>
  <c r="R15" i="9"/>
  <c r="E367" i="13"/>
  <c r="E249" i="16"/>
  <c r="S30" i="9"/>
  <c r="W30" i="9" s="1"/>
  <c r="E343" i="13"/>
  <c r="E289" i="13"/>
  <c r="E353" i="13"/>
  <c r="E296" i="13"/>
  <c r="E230" i="13"/>
  <c r="E45" i="16"/>
  <c r="S11" i="9"/>
  <c r="W11" i="9" s="1"/>
  <c r="E76" i="13"/>
  <c r="E280" i="16"/>
  <c r="E234" i="13"/>
  <c r="R35" i="9"/>
  <c r="E339" i="13"/>
  <c r="E270" i="16"/>
  <c r="S33" i="9"/>
  <c r="W33" i="9" s="1"/>
  <c r="E364" i="13"/>
  <c r="E227" i="16"/>
  <c r="S27" i="9"/>
  <c r="W27" i="9" s="1"/>
  <c r="E321" i="13"/>
  <c r="E252" i="16"/>
  <c r="N13" i="9"/>
  <c r="O13" i="9" s="1"/>
  <c r="E30" i="13"/>
  <c r="E192" i="16"/>
  <c r="S22" i="9"/>
  <c r="W22" i="9" s="1"/>
  <c r="E286" i="13"/>
  <c r="E256" i="16"/>
  <c r="S31" i="9"/>
  <c r="W31" i="9" s="1"/>
  <c r="E350" i="13"/>
  <c r="E199" i="16"/>
  <c r="S23" i="9"/>
  <c r="W23" i="9" s="1"/>
  <c r="E293" i="13"/>
  <c r="E213" i="13"/>
  <c r="N21" i="9"/>
  <c r="O21" i="9" s="1"/>
  <c r="E213" i="16"/>
  <c r="S25" i="9"/>
  <c r="W25" i="9" s="1"/>
  <c r="E307" i="13"/>
  <c r="E79" i="13"/>
  <c r="E374" i="13"/>
  <c r="E220" i="16"/>
  <c r="S26" i="9"/>
  <c r="W26" i="9" s="1"/>
  <c r="E314" i="13"/>
  <c r="E358" i="13"/>
  <c r="E246" i="13"/>
  <c r="E262" i="13"/>
  <c r="E324" i="13"/>
  <c r="U35" i="9"/>
  <c r="E238" i="13"/>
  <c r="E346" i="13"/>
  <c r="E60" i="16"/>
  <c r="E218" i="13"/>
  <c r="E254" i="13"/>
  <c r="E222" i="13"/>
  <c r="E186" i="16"/>
  <c r="E216" i="16"/>
  <c r="E48" i="16"/>
  <c r="E266" i="13"/>
  <c r="E223" i="16"/>
  <c r="E257" i="13"/>
  <c r="N32" i="9"/>
  <c r="O32" i="9" s="1"/>
  <c r="E242" i="16"/>
  <c r="S29" i="9"/>
  <c r="W29" i="9" s="1"/>
  <c r="E336" i="13"/>
  <c r="E273" i="16"/>
  <c r="F164" i="13"/>
  <c r="F166" i="13" s="1"/>
  <c r="N16" i="19"/>
  <c r="J16" i="19"/>
  <c r="F16" i="19"/>
  <c r="L16" i="19"/>
  <c r="H16" i="19"/>
  <c r="I150" i="13"/>
  <c r="G30" i="24" s="1"/>
  <c r="I149" i="13"/>
  <c r="G29" i="24" s="1"/>
  <c r="H115" i="13" l="1"/>
  <c r="F41" i="13"/>
  <c r="D6" i="24" s="1"/>
  <c r="F9" i="16"/>
  <c r="F40" i="13"/>
  <c r="D5" i="24" s="1"/>
  <c r="U8" i="12"/>
  <c r="H39" i="13"/>
  <c r="I39" i="13" s="1"/>
  <c r="H8" i="16"/>
  <c r="I8" i="16" s="1"/>
  <c r="F11" i="16"/>
  <c r="F42" i="13"/>
  <c r="D4" i="24" s="1"/>
  <c r="E11" i="16"/>
  <c r="E42" i="13"/>
  <c r="E44" i="13" s="1"/>
  <c r="F6" i="16"/>
  <c r="U12" i="12"/>
  <c r="H12" i="16"/>
  <c r="G92" i="16"/>
  <c r="F10" i="16"/>
  <c r="E7" i="16"/>
  <c r="E13" i="16" s="1"/>
  <c r="V8" i="11"/>
  <c r="W8" i="9"/>
  <c r="C5" i="24"/>
  <c r="V10" i="10"/>
  <c r="W10" i="9"/>
  <c r="N10" i="9" s="1"/>
  <c r="O10" i="9" s="1"/>
  <c r="I108" i="13"/>
  <c r="G14" i="24" s="1"/>
  <c r="F27" i="13"/>
  <c r="V12" i="10"/>
  <c r="F31" i="13"/>
  <c r="V13" i="10"/>
  <c r="N13" i="10" s="1"/>
  <c r="O13" i="10" s="1"/>
  <c r="F234" i="13"/>
  <c r="V26" i="10"/>
  <c r="V7" i="10"/>
  <c r="W7" i="9"/>
  <c r="N7" i="9" s="1"/>
  <c r="O7" i="9" s="1"/>
  <c r="G11" i="13"/>
  <c r="I133" i="16"/>
  <c r="I224" i="16"/>
  <c r="G61" i="16"/>
  <c r="G62" i="16" s="1"/>
  <c r="C42" i="24"/>
  <c r="I163" i="13"/>
  <c r="G42" i="24" s="1"/>
  <c r="F97" i="13"/>
  <c r="F98" i="13" s="1"/>
  <c r="Z31" i="11"/>
  <c r="AE23" i="23" s="1"/>
  <c r="Z26" i="11"/>
  <c r="AE18" i="23" s="1"/>
  <c r="R13" i="11"/>
  <c r="V13" i="11" s="1"/>
  <c r="G92" i="13"/>
  <c r="G93" i="13" s="1"/>
  <c r="F59" i="16"/>
  <c r="F60" i="16" s="1"/>
  <c r="G59" i="16"/>
  <c r="G60" i="16" s="1"/>
  <c r="M25" i="11"/>
  <c r="M26" i="11"/>
  <c r="M11" i="11"/>
  <c r="M33" i="11"/>
  <c r="M34" i="11"/>
  <c r="M30" i="11"/>
  <c r="M21" i="11"/>
  <c r="M20" i="11"/>
  <c r="M23" i="11"/>
  <c r="M14" i="11"/>
  <c r="M12" i="11"/>
  <c r="M31" i="11"/>
  <c r="I112" i="13"/>
  <c r="G15" i="24" s="1"/>
  <c r="F15" i="24"/>
  <c r="I105" i="13"/>
  <c r="G12" i="24" s="1"/>
  <c r="F12" i="24"/>
  <c r="F52" i="16"/>
  <c r="F53" i="16" s="1"/>
  <c r="F66" i="16"/>
  <c r="F67" i="16" s="1"/>
  <c r="F45" i="16"/>
  <c r="F46" i="16" s="1"/>
  <c r="F76" i="13"/>
  <c r="F77" i="13" s="1"/>
  <c r="E166" i="13"/>
  <c r="G166" i="13"/>
  <c r="F12" i="19"/>
  <c r="B18" i="24"/>
  <c r="Z14" i="11"/>
  <c r="AE11" i="23" s="1"/>
  <c r="Z8" i="11"/>
  <c r="AE5" i="23" s="1"/>
  <c r="M14" i="12"/>
  <c r="G215" i="16"/>
  <c r="G216" i="16" s="1"/>
  <c r="Z25" i="11"/>
  <c r="AE17" i="23" s="1"/>
  <c r="G19" i="16"/>
  <c r="G20" i="16" s="1"/>
  <c r="M34" i="10"/>
  <c r="Z34" i="10"/>
  <c r="AD26" i="23" s="1"/>
  <c r="Z26" i="10"/>
  <c r="AD18" i="23" s="1"/>
  <c r="Z7" i="10"/>
  <c r="AD4" i="23" s="1"/>
  <c r="Z31" i="10"/>
  <c r="AD23" i="23" s="1"/>
  <c r="Z10" i="10"/>
  <c r="AD7" i="23" s="1"/>
  <c r="Z12" i="10"/>
  <c r="AD9" i="23" s="1"/>
  <c r="Z9" i="10"/>
  <c r="AD6" i="23" s="1"/>
  <c r="Z32" i="10"/>
  <c r="AD24" i="23" s="1"/>
  <c r="M8" i="10"/>
  <c r="Z8" i="10"/>
  <c r="AD5" i="23" s="1"/>
  <c r="Z25" i="10"/>
  <c r="AD17" i="23" s="1"/>
  <c r="Z27" i="10"/>
  <c r="AD19" i="23" s="1"/>
  <c r="Z24" i="10"/>
  <c r="AD16" i="23" s="1"/>
  <c r="Z29" i="10"/>
  <c r="AD21" i="23" s="1"/>
  <c r="Z14" i="10"/>
  <c r="AD11" i="23" s="1"/>
  <c r="Z13" i="10"/>
  <c r="AD10" i="23" s="1"/>
  <c r="Z28" i="10"/>
  <c r="AD20" i="23" s="1"/>
  <c r="Z22" i="10"/>
  <c r="AD14" i="23" s="1"/>
  <c r="I318" i="13"/>
  <c r="F230" i="13"/>
  <c r="G309" i="13"/>
  <c r="G310" i="13" s="1"/>
  <c r="F213" i="16"/>
  <c r="F214" i="16" s="1"/>
  <c r="F307" i="13"/>
  <c r="F308" i="13" s="1"/>
  <c r="M25" i="10"/>
  <c r="S26" i="10"/>
  <c r="W26" i="10" s="1"/>
  <c r="S31" i="10"/>
  <c r="F256" i="16"/>
  <c r="F257" i="16" s="1"/>
  <c r="F314" i="13"/>
  <c r="F315" i="13" s="1"/>
  <c r="F350" i="13"/>
  <c r="F351" i="13" s="1"/>
  <c r="F90" i="13"/>
  <c r="F91" i="13" s="1"/>
  <c r="F83" i="13"/>
  <c r="F84" i="13" s="1"/>
  <c r="S12" i="10"/>
  <c r="G99" i="13"/>
  <c r="G100" i="13" s="1"/>
  <c r="F220" i="16"/>
  <c r="F221" i="16" s="1"/>
  <c r="F48" i="13"/>
  <c r="F49" i="13" s="1"/>
  <c r="S7" i="10"/>
  <c r="F38" i="13" s="1"/>
  <c r="F17" i="16"/>
  <c r="F18" i="16" s="1"/>
  <c r="F7" i="13"/>
  <c r="R7" i="11"/>
  <c r="G37" i="13" s="1"/>
  <c r="M7" i="11"/>
  <c r="G50" i="13"/>
  <c r="G51" i="13" s="1"/>
  <c r="S34" i="10"/>
  <c r="W34" i="10" s="1"/>
  <c r="F35" i="13"/>
  <c r="R14" i="12"/>
  <c r="V14" i="12" s="1"/>
  <c r="G36" i="13"/>
  <c r="M29" i="11"/>
  <c r="G246" i="16" s="1"/>
  <c r="G247" i="16" s="1"/>
  <c r="S29" i="10"/>
  <c r="W29" i="10" s="1"/>
  <c r="Q15" i="11"/>
  <c r="G32" i="13"/>
  <c r="S14" i="12"/>
  <c r="W14" i="12" s="1"/>
  <c r="Q14" i="12"/>
  <c r="U14" i="12" s="1"/>
  <c r="H70" i="16"/>
  <c r="H101" i="13"/>
  <c r="Q13" i="12"/>
  <c r="U13" i="12" s="1"/>
  <c r="H94" i="13"/>
  <c r="H63" i="16"/>
  <c r="H64" i="16" s="1"/>
  <c r="R22" i="12"/>
  <c r="V22" i="12" s="1"/>
  <c r="F24" i="16"/>
  <c r="F25" i="16" s="1"/>
  <c r="S8" i="10"/>
  <c r="F55" i="13"/>
  <c r="F56" i="13" s="1"/>
  <c r="F371" i="13"/>
  <c r="F372" i="13" s="1"/>
  <c r="F242" i="16"/>
  <c r="F243" i="16" s="1"/>
  <c r="N8" i="9"/>
  <c r="O8" i="9" s="1"/>
  <c r="E10" i="13"/>
  <c r="F336" i="13"/>
  <c r="F337" i="13" s="1"/>
  <c r="F277" i="16"/>
  <c r="F278" i="16" s="1"/>
  <c r="E246" i="16"/>
  <c r="E247" i="16" s="1"/>
  <c r="N20" i="9"/>
  <c r="O20" i="9" s="1"/>
  <c r="E209" i="13"/>
  <c r="E6" i="13"/>
  <c r="U15" i="10"/>
  <c r="V15" i="9"/>
  <c r="I196" i="16"/>
  <c r="I80" i="13"/>
  <c r="I235" i="13"/>
  <c r="I347" i="13"/>
  <c r="R15" i="10"/>
  <c r="S15" i="9"/>
  <c r="I297" i="13"/>
  <c r="I368" i="13"/>
  <c r="I74" i="16"/>
  <c r="I253" i="16"/>
  <c r="I311" i="13"/>
  <c r="U35" i="10"/>
  <c r="I290" i="13"/>
  <c r="R35" i="10"/>
  <c r="G35" i="13"/>
  <c r="N14" i="10"/>
  <c r="O14" i="10" s="1"/>
  <c r="F34" i="13"/>
  <c r="I354" i="13"/>
  <c r="S14" i="11"/>
  <c r="W14" i="11" s="1"/>
  <c r="G97" i="13"/>
  <c r="G66" i="16"/>
  <c r="G67" i="16" s="1"/>
  <c r="G24" i="16"/>
  <c r="S8" i="11"/>
  <c r="G55" i="13"/>
  <c r="F266" i="16"/>
  <c r="F238" i="13"/>
  <c r="S12" i="11"/>
  <c r="W12" i="11" s="1"/>
  <c r="G52" i="16"/>
  <c r="G53" i="16" s="1"/>
  <c r="H52" i="16"/>
  <c r="H53" i="16" s="1"/>
  <c r="G83" i="13"/>
  <c r="G84" i="13" s="1"/>
  <c r="H215" i="16"/>
  <c r="S25" i="12"/>
  <c r="W25" i="12" s="1"/>
  <c r="R25" i="12"/>
  <c r="V25" i="12" s="1"/>
  <c r="H309" i="13"/>
  <c r="E39" i="16"/>
  <c r="F30" i="13"/>
  <c r="F65" i="13"/>
  <c r="G243" i="13"/>
  <c r="G178" i="16"/>
  <c r="G179" i="16" s="1"/>
  <c r="S20" i="11"/>
  <c r="W20" i="11" s="1"/>
  <c r="G272" i="13"/>
  <c r="G273" i="13" s="1"/>
  <c r="H26" i="16"/>
  <c r="H27" i="16" s="1"/>
  <c r="Z8" i="12"/>
  <c r="AF5" i="23" s="1"/>
  <c r="R8" i="12"/>
  <c r="H57" i="13"/>
  <c r="H58" i="13" s="1"/>
  <c r="G185" i="16"/>
  <c r="S21" i="11"/>
  <c r="W21" i="11" s="1"/>
  <c r="G279" i="13"/>
  <c r="G280" i="13" s="1"/>
  <c r="H180" i="16"/>
  <c r="H181" i="16" s="1"/>
  <c r="Z20" i="12"/>
  <c r="AF12" i="23" s="1"/>
  <c r="AG12" i="23" s="1"/>
  <c r="R20" i="12"/>
  <c r="V20" i="12" s="1"/>
  <c r="I325" i="13"/>
  <c r="H28" i="13"/>
  <c r="I28" i="13" s="1"/>
  <c r="G246" i="13"/>
  <c r="I115" i="13"/>
  <c r="G259" i="13"/>
  <c r="H282" i="16"/>
  <c r="I281" i="16"/>
  <c r="H251" i="13"/>
  <c r="I251" i="13" s="1"/>
  <c r="F303" i="13"/>
  <c r="G220" i="16"/>
  <c r="G221" i="16" s="1"/>
  <c r="S26" i="11"/>
  <c r="W26" i="11" s="1"/>
  <c r="G314" i="13"/>
  <c r="G315" i="13" s="1"/>
  <c r="F209" i="13"/>
  <c r="N20" i="10"/>
  <c r="O20" i="10" s="1"/>
  <c r="F38" i="16"/>
  <c r="F39" i="16" s="1"/>
  <c r="S10" i="10"/>
  <c r="F69" i="13"/>
  <c r="F70" i="13" s="1"/>
  <c r="H190" i="16"/>
  <c r="I189" i="16"/>
  <c r="H210" i="16"/>
  <c r="Q24" i="12"/>
  <c r="U24" i="12" s="1"/>
  <c r="H304" i="13"/>
  <c r="I182" i="16"/>
  <c r="G222" i="13"/>
  <c r="F242" i="13"/>
  <c r="G238" i="13"/>
  <c r="N11" i="10"/>
  <c r="O11" i="10" s="1"/>
  <c r="F22" i="13"/>
  <c r="F221" i="13"/>
  <c r="N23" i="10"/>
  <c r="O23" i="10" s="1"/>
  <c r="G250" i="13"/>
  <c r="H267" i="16"/>
  <c r="H268" i="16" s="1"/>
  <c r="Q32" i="12"/>
  <c r="U32" i="12" s="1"/>
  <c r="H361" i="13"/>
  <c r="H362" i="13" s="1"/>
  <c r="G27" i="16"/>
  <c r="H8" i="13"/>
  <c r="I8" i="13" s="1"/>
  <c r="F360" i="13"/>
  <c r="H231" i="13"/>
  <c r="I231" i="13" s="1"/>
  <c r="G262" i="13"/>
  <c r="E18" i="13"/>
  <c r="G254" i="13"/>
  <c r="F31" i="16"/>
  <c r="S9" i="10"/>
  <c r="W9" i="10" s="1"/>
  <c r="F62" i="13"/>
  <c r="H229" i="16"/>
  <c r="H230" i="16" s="1"/>
  <c r="R27" i="12"/>
  <c r="V27" i="12" s="1"/>
  <c r="H323" i="13"/>
  <c r="H24" i="13"/>
  <c r="I24" i="13" s="1"/>
  <c r="G237" i="16"/>
  <c r="G238" i="16" s="1"/>
  <c r="Z28" i="11"/>
  <c r="AE20" i="23" s="1"/>
  <c r="R28" i="11"/>
  <c r="V28" i="11" s="1"/>
  <c r="G331" i="13"/>
  <c r="G332" i="13" s="1"/>
  <c r="H244" i="16"/>
  <c r="Z29" i="12"/>
  <c r="AF21" i="23" s="1"/>
  <c r="R29" i="12"/>
  <c r="V29" i="12" s="1"/>
  <c r="H338" i="13"/>
  <c r="G210" i="13"/>
  <c r="G188" i="16"/>
  <c r="H211" i="13"/>
  <c r="I211" i="13" s="1"/>
  <c r="S29" i="11"/>
  <c r="W29" i="11" s="1"/>
  <c r="F218" i="13"/>
  <c r="I91" i="16"/>
  <c r="I122" i="13"/>
  <c r="G266" i="13"/>
  <c r="I21" i="16"/>
  <c r="G265" i="16"/>
  <c r="G266" i="16" s="1"/>
  <c r="Z32" i="11"/>
  <c r="AE24" i="23" s="1"/>
  <c r="R32" i="11"/>
  <c r="V32" i="11" s="1"/>
  <c r="G359" i="13"/>
  <c r="G360" i="13" s="1"/>
  <c r="H272" i="16"/>
  <c r="S33" i="12"/>
  <c r="W33" i="12" s="1"/>
  <c r="R33" i="12"/>
  <c r="V33" i="12" s="1"/>
  <c r="H366" i="13"/>
  <c r="F206" i="16"/>
  <c r="S24" i="10"/>
  <c r="W24" i="10" s="1"/>
  <c r="F300" i="13"/>
  <c r="F179" i="16"/>
  <c r="I52" i="13"/>
  <c r="H201" i="16"/>
  <c r="Z23" i="12"/>
  <c r="AF15" i="23" s="1"/>
  <c r="AG15" i="23" s="1"/>
  <c r="R23" i="12"/>
  <c r="V23" i="12" s="1"/>
  <c r="H295" i="13"/>
  <c r="G16" i="13"/>
  <c r="G199" i="16"/>
  <c r="G200" i="16" s="1"/>
  <c r="S23" i="11"/>
  <c r="W23" i="11" s="1"/>
  <c r="G293" i="13"/>
  <c r="G294" i="13" s="1"/>
  <c r="H258" i="16"/>
  <c r="Z31" i="12"/>
  <c r="AF23" i="23" s="1"/>
  <c r="R31" i="12"/>
  <c r="V31" i="12" s="1"/>
  <c r="H352" i="13"/>
  <c r="F238" i="16"/>
  <c r="I375" i="13"/>
  <c r="G249" i="16"/>
  <c r="G250" i="16" s="1"/>
  <c r="S30" i="11"/>
  <c r="W30" i="11" s="1"/>
  <c r="G343" i="13"/>
  <c r="G344" i="13" s="1"/>
  <c r="G40" i="16"/>
  <c r="G41" i="16" s="1"/>
  <c r="Z10" i="11"/>
  <c r="AE7" i="23" s="1"/>
  <c r="G71" i="13"/>
  <c r="R10" i="11"/>
  <c r="G58" i="13"/>
  <c r="F263" i="16"/>
  <c r="S32" i="10"/>
  <c r="W32" i="10" s="1"/>
  <c r="F357" i="13"/>
  <c r="H218" i="16"/>
  <c r="I217" i="16"/>
  <c r="N21" i="10"/>
  <c r="O21" i="10" s="1"/>
  <c r="F213" i="13"/>
  <c r="S33" i="11"/>
  <c r="W33" i="11" s="1"/>
  <c r="H270" i="16"/>
  <c r="H271" i="16" s="1"/>
  <c r="G364" i="13"/>
  <c r="G365" i="13" s="1"/>
  <c r="G270" i="16"/>
  <c r="G271" i="16" s="1"/>
  <c r="H365" i="13"/>
  <c r="E70" i="13"/>
  <c r="S31" i="11"/>
  <c r="W31" i="11" s="1"/>
  <c r="F15" i="13"/>
  <c r="H239" i="13"/>
  <c r="H47" i="16"/>
  <c r="Z11" i="12"/>
  <c r="AF8" i="23" s="1"/>
  <c r="AG8" i="23" s="1"/>
  <c r="H78" i="13"/>
  <c r="R11" i="12"/>
  <c r="V11" i="12" s="1"/>
  <c r="H247" i="13"/>
  <c r="I247" i="13" s="1"/>
  <c r="H35" i="16"/>
  <c r="Q9" i="12"/>
  <c r="U9" i="12" s="1"/>
  <c r="H66" i="13"/>
  <c r="H12" i="13"/>
  <c r="I12" i="13" s="1"/>
  <c r="F192" i="16"/>
  <c r="F193" i="16" s="1"/>
  <c r="S22" i="10"/>
  <c r="W22" i="10" s="1"/>
  <c r="F286" i="13"/>
  <c r="F287" i="13" s="1"/>
  <c r="G277" i="16"/>
  <c r="G278" i="16" s="1"/>
  <c r="S34" i="11"/>
  <c r="W34" i="11" s="1"/>
  <c r="G371" i="13"/>
  <c r="G372" i="13" s="1"/>
  <c r="H222" i="16"/>
  <c r="Z26" i="12"/>
  <c r="AF18" i="23" s="1"/>
  <c r="R26" i="12"/>
  <c r="V26" i="12" s="1"/>
  <c r="H316" i="13"/>
  <c r="H279" i="16"/>
  <c r="Z34" i="12"/>
  <c r="AF26" i="23" s="1"/>
  <c r="R34" i="12"/>
  <c r="V34" i="12" s="1"/>
  <c r="H373" i="13"/>
  <c r="H263" i="13"/>
  <c r="I263" i="13" s="1"/>
  <c r="Q35" i="11"/>
  <c r="F226" i="13"/>
  <c r="H187" i="16"/>
  <c r="H188" i="16" s="1"/>
  <c r="Z21" i="12"/>
  <c r="AF13" i="23" s="1"/>
  <c r="AG13" i="23" s="1"/>
  <c r="R21" i="12"/>
  <c r="V21" i="12" s="1"/>
  <c r="H223" i="13"/>
  <c r="I223" i="13" s="1"/>
  <c r="H219" i="13"/>
  <c r="I219" i="13" s="1"/>
  <c r="G23" i="13"/>
  <c r="S25" i="11"/>
  <c r="W25" i="11" s="1"/>
  <c r="G213" i="16"/>
  <c r="G214" i="16" s="1"/>
  <c r="H213" i="16"/>
  <c r="H214" i="16" s="1"/>
  <c r="G307" i="13"/>
  <c r="G308" i="13" s="1"/>
  <c r="H308" i="13"/>
  <c r="Z9" i="11"/>
  <c r="AE6" i="23" s="1"/>
  <c r="R9" i="11"/>
  <c r="V9" i="11" s="1"/>
  <c r="G64" i="13"/>
  <c r="G65" i="13" s="1"/>
  <c r="G33" i="16"/>
  <c r="G34" i="16" s="1"/>
  <c r="H255" i="13"/>
  <c r="I255" i="13" s="1"/>
  <c r="D9" i="24"/>
  <c r="I56" i="16"/>
  <c r="F332" i="13"/>
  <c r="G227" i="13"/>
  <c r="F229" i="13"/>
  <c r="N30" i="10"/>
  <c r="O30" i="10" s="1"/>
  <c r="F249" i="13"/>
  <c r="V35" i="9"/>
  <c r="G20" i="13"/>
  <c r="H239" i="16"/>
  <c r="H240" i="16" s="1"/>
  <c r="Q28" i="12"/>
  <c r="U28" i="12" s="1"/>
  <c r="H333" i="13"/>
  <c r="H334" i="13" s="1"/>
  <c r="F258" i="13"/>
  <c r="F227" i="16"/>
  <c r="F228" i="16" s="1"/>
  <c r="S27" i="10"/>
  <c r="W27" i="10" s="1"/>
  <c r="F321" i="13"/>
  <c r="F322" i="13" s="1"/>
  <c r="G27" i="13"/>
  <c r="F34" i="16"/>
  <c r="H232" i="16"/>
  <c r="I231" i="16"/>
  <c r="H50" i="16"/>
  <c r="I49" i="16"/>
  <c r="H341" i="13"/>
  <c r="I340" i="13"/>
  <c r="G194" i="16"/>
  <c r="R22" i="11"/>
  <c r="V22" i="11" s="1"/>
  <c r="G288" i="13"/>
  <c r="G214" i="13"/>
  <c r="R12" i="12"/>
  <c r="V12" i="12" s="1"/>
  <c r="H54" i="16"/>
  <c r="H85" i="13"/>
  <c r="H86" i="13" s="1"/>
  <c r="S7" i="11"/>
  <c r="I84" i="16"/>
  <c r="H267" i="13"/>
  <c r="I267" i="13" s="1"/>
  <c r="H42" i="16"/>
  <c r="H73" i="13"/>
  <c r="H74" i="13" s="1"/>
  <c r="Q10" i="12"/>
  <c r="U10" i="12" s="1"/>
  <c r="H275" i="16"/>
  <c r="I274" i="16"/>
  <c r="I59" i="13"/>
  <c r="H251" i="16"/>
  <c r="Z30" i="12"/>
  <c r="AF22" i="23" s="1"/>
  <c r="AG22" i="23" s="1"/>
  <c r="R30" i="12"/>
  <c r="V30" i="12" s="1"/>
  <c r="H345" i="13"/>
  <c r="F209" i="16"/>
  <c r="G234" i="13"/>
  <c r="I87" i="13"/>
  <c r="F19" i="13"/>
  <c r="H215" i="13"/>
  <c r="I215" i="13" s="1"/>
  <c r="H204" i="16"/>
  <c r="I203" i="16"/>
  <c r="S11" i="11"/>
  <c r="W11" i="11" s="1"/>
  <c r="G76" i="13"/>
  <c r="G77" i="13" s="1"/>
  <c r="G45" i="16"/>
  <c r="G46" i="16" s="1"/>
  <c r="I28" i="16"/>
  <c r="G230" i="13"/>
  <c r="F235" i="16"/>
  <c r="S28" i="10"/>
  <c r="W28" i="10" s="1"/>
  <c r="F329" i="13"/>
  <c r="I260" i="16"/>
  <c r="G208" i="16"/>
  <c r="G209" i="16" s="1"/>
  <c r="Z24" i="11"/>
  <c r="AE16" i="23" s="1"/>
  <c r="R24" i="11"/>
  <c r="V24" i="11" s="1"/>
  <c r="G302" i="13"/>
  <c r="G303" i="13" s="1"/>
  <c r="I109" i="13"/>
  <c r="G10" i="24" s="1"/>
  <c r="F261" i="13"/>
  <c r="N33" i="10"/>
  <c r="O33" i="10" s="1"/>
  <c r="E243" i="16"/>
  <c r="E245" i="13"/>
  <c r="N29" i="9"/>
  <c r="O29" i="9" s="1"/>
  <c r="E315" i="13"/>
  <c r="E229" i="13"/>
  <c r="N25" i="9"/>
  <c r="O25" i="9" s="1"/>
  <c r="E351" i="13"/>
  <c r="E217" i="13"/>
  <c r="N22" i="9"/>
  <c r="O22" i="9" s="1"/>
  <c r="E228" i="16"/>
  <c r="N11" i="9"/>
  <c r="O11" i="9" s="1"/>
  <c r="E22" i="13"/>
  <c r="E250" i="16"/>
  <c r="E265" i="13"/>
  <c r="N34" i="9"/>
  <c r="O34" i="9" s="1"/>
  <c r="E233" i="13"/>
  <c r="N26" i="9"/>
  <c r="O26" i="9" s="1"/>
  <c r="E214" i="16"/>
  <c r="E294" i="13"/>
  <c r="E253" i="13"/>
  <c r="N31" i="9"/>
  <c r="O31" i="9" s="1"/>
  <c r="E193" i="16"/>
  <c r="E365" i="13"/>
  <c r="E46" i="16"/>
  <c r="E278" i="16"/>
  <c r="E221" i="13"/>
  <c r="N23" i="9"/>
  <c r="O23" i="9" s="1"/>
  <c r="E322" i="13"/>
  <c r="C9" i="24"/>
  <c r="E344" i="13"/>
  <c r="E221" i="16"/>
  <c r="S35" i="9"/>
  <c r="E257" i="16"/>
  <c r="E261" i="13"/>
  <c r="N33" i="9"/>
  <c r="O33" i="9" s="1"/>
  <c r="E337" i="13"/>
  <c r="E308" i="13"/>
  <c r="E200" i="16"/>
  <c r="E287" i="13"/>
  <c r="E237" i="13"/>
  <c r="N27" i="9"/>
  <c r="O27" i="9" s="1"/>
  <c r="E271" i="16"/>
  <c r="E77" i="13"/>
  <c r="E249" i="13"/>
  <c r="N30" i="9"/>
  <c r="O30" i="9" s="1"/>
  <c r="E372" i="13"/>
  <c r="F11" i="19"/>
  <c r="D127" i="13"/>
  <c r="D18" i="18"/>
  <c r="H18" i="18" s="1"/>
  <c r="P16" i="19"/>
  <c r="I164" i="13"/>
  <c r="E89" i="16" l="1"/>
  <c r="G11" i="16"/>
  <c r="G42" i="13"/>
  <c r="E4" i="24" s="1"/>
  <c r="E120" i="13"/>
  <c r="I92" i="16"/>
  <c r="G6" i="16"/>
  <c r="W8" i="11"/>
  <c r="W8" i="10"/>
  <c r="F7" i="16"/>
  <c r="F13" i="16" s="1"/>
  <c r="F44" i="13"/>
  <c r="V8" i="12"/>
  <c r="I43" i="13"/>
  <c r="E268" i="13"/>
  <c r="C4" i="24"/>
  <c r="V10" i="11"/>
  <c r="W10" i="10"/>
  <c r="C6" i="24"/>
  <c r="F253" i="13"/>
  <c r="W31" i="10"/>
  <c r="F26" i="13"/>
  <c r="W12" i="10"/>
  <c r="W7" i="11"/>
  <c r="V7" i="11"/>
  <c r="W7" i="10"/>
  <c r="N7" i="10" s="1"/>
  <c r="O7" i="10" s="1"/>
  <c r="N25" i="10"/>
  <c r="O25" i="10" s="1"/>
  <c r="H11" i="13"/>
  <c r="S12" i="12"/>
  <c r="W12" i="12" s="1"/>
  <c r="H83" i="13"/>
  <c r="H84" i="13" s="1"/>
  <c r="G256" i="16"/>
  <c r="G257" i="16" s="1"/>
  <c r="H99" i="13"/>
  <c r="H100" i="13" s="1"/>
  <c r="G31" i="13"/>
  <c r="G350" i="13"/>
  <c r="G351" i="13" s="1"/>
  <c r="H286" i="13"/>
  <c r="H287" i="13" s="1"/>
  <c r="S13" i="11"/>
  <c r="W13" i="11" s="1"/>
  <c r="N13" i="11" s="1"/>
  <c r="O13" i="11" s="1"/>
  <c r="Z13" i="11"/>
  <c r="AE10" i="23" s="1"/>
  <c r="G90" i="13"/>
  <c r="G91" i="13" s="1"/>
  <c r="M34" i="12"/>
  <c r="M25" i="12"/>
  <c r="M10" i="11"/>
  <c r="M20" i="12"/>
  <c r="M22" i="12"/>
  <c r="M31" i="12"/>
  <c r="M26" i="12"/>
  <c r="M24" i="11"/>
  <c r="M32" i="11"/>
  <c r="M30" i="12"/>
  <c r="M12" i="12"/>
  <c r="M9" i="11"/>
  <c r="M29" i="12"/>
  <c r="H246" i="16" s="1"/>
  <c r="H247" i="16" s="1"/>
  <c r="Z27" i="11"/>
  <c r="AE19" i="23" s="1"/>
  <c r="M27" i="11"/>
  <c r="Z14" i="12"/>
  <c r="AF11" i="23" s="1"/>
  <c r="AG11" i="23" s="1"/>
  <c r="M22" i="11"/>
  <c r="M33" i="12"/>
  <c r="M28" i="11"/>
  <c r="M23" i="12"/>
  <c r="M21" i="12"/>
  <c r="M11" i="12"/>
  <c r="N12" i="10"/>
  <c r="O12" i="10" s="1"/>
  <c r="H68" i="16"/>
  <c r="H69" i="16" s="1"/>
  <c r="AG5" i="23"/>
  <c r="AG18" i="23"/>
  <c r="AG26" i="23"/>
  <c r="AG23" i="23"/>
  <c r="G242" i="16"/>
  <c r="G243" i="16" s="1"/>
  <c r="Z29" i="11"/>
  <c r="AE21" i="23" s="1"/>
  <c r="AG21" i="23" s="1"/>
  <c r="Z7" i="11"/>
  <c r="AE4" i="23" s="1"/>
  <c r="Z22" i="11"/>
  <c r="AE14" i="23" s="1"/>
  <c r="M8" i="12"/>
  <c r="Z25" i="12"/>
  <c r="AF17" i="23" s="1"/>
  <c r="AG17" i="23" s="1"/>
  <c r="H194" i="16"/>
  <c r="H195" i="16" s="1"/>
  <c r="Z22" i="12"/>
  <c r="AF14" i="23" s="1"/>
  <c r="M7" i="12"/>
  <c r="Z33" i="12"/>
  <c r="AF25" i="23" s="1"/>
  <c r="AG25" i="23" s="1"/>
  <c r="Z12" i="12"/>
  <c r="AF9" i="23" s="1"/>
  <c r="AG9" i="23" s="1"/>
  <c r="F233" i="13"/>
  <c r="N31" i="10"/>
  <c r="O31" i="10" s="1"/>
  <c r="F245" i="13"/>
  <c r="F265" i="13"/>
  <c r="N26" i="10"/>
  <c r="O26" i="10" s="1"/>
  <c r="H19" i="16"/>
  <c r="H20" i="16" s="1"/>
  <c r="F6" i="13"/>
  <c r="H35" i="13"/>
  <c r="I35" i="13" s="1"/>
  <c r="G48" i="13"/>
  <c r="G49" i="13" s="1"/>
  <c r="H50" i="13"/>
  <c r="H51" i="13" s="1"/>
  <c r="G17" i="16"/>
  <c r="G18" i="16" s="1"/>
  <c r="R7" i="12"/>
  <c r="G7" i="13"/>
  <c r="H288" i="13"/>
  <c r="H289" i="13" s="1"/>
  <c r="G336" i="13"/>
  <c r="G337" i="13" s="1"/>
  <c r="H32" i="13"/>
  <c r="I32" i="13" s="1"/>
  <c r="H66" i="16"/>
  <c r="H67" i="16" s="1"/>
  <c r="H61" i="16"/>
  <c r="H92" i="13"/>
  <c r="R13" i="12"/>
  <c r="V13" i="12" s="1"/>
  <c r="Z13" i="12"/>
  <c r="AF10" i="23" s="1"/>
  <c r="H102" i="13"/>
  <c r="I101" i="13"/>
  <c r="H97" i="13"/>
  <c r="H98" i="13" s="1"/>
  <c r="H71" i="16"/>
  <c r="I70" i="16"/>
  <c r="I63" i="16"/>
  <c r="H95" i="13"/>
  <c r="I94" i="13"/>
  <c r="H36" i="13"/>
  <c r="I36" i="13" s="1"/>
  <c r="F246" i="16"/>
  <c r="F247" i="16" s="1"/>
  <c r="N29" i="10"/>
  <c r="O29" i="10" s="1"/>
  <c r="N34" i="10"/>
  <c r="O34" i="10" s="1"/>
  <c r="F10" i="13"/>
  <c r="N8" i="10"/>
  <c r="O8" i="10" s="1"/>
  <c r="O35" i="9"/>
  <c r="O15" i="9" s="1"/>
  <c r="O16" i="9" s="1"/>
  <c r="R15" i="11"/>
  <c r="W15" i="9"/>
  <c r="U35" i="11"/>
  <c r="I361" i="13"/>
  <c r="I239" i="16"/>
  <c r="U15" i="11"/>
  <c r="I267" i="16"/>
  <c r="I229" i="16"/>
  <c r="I213" i="16"/>
  <c r="I270" i="16"/>
  <c r="I180" i="16"/>
  <c r="I364" i="13"/>
  <c r="V35" i="10"/>
  <c r="I52" i="16"/>
  <c r="E9" i="24"/>
  <c r="V15" i="10"/>
  <c r="I26" i="16"/>
  <c r="H34" i="13"/>
  <c r="N14" i="12"/>
  <c r="O14" i="12" s="1"/>
  <c r="W35" i="9"/>
  <c r="I307" i="13"/>
  <c r="S35" i="10"/>
  <c r="G98" i="13"/>
  <c r="R35" i="11"/>
  <c r="I57" i="13"/>
  <c r="N14" i="11"/>
  <c r="O14" i="11" s="1"/>
  <c r="G34" i="13"/>
  <c r="H192" i="16"/>
  <c r="H193" i="16" s="1"/>
  <c r="S22" i="12"/>
  <c r="W22" i="12" s="1"/>
  <c r="G22" i="13"/>
  <c r="N11" i="11"/>
  <c r="O11" i="11" s="1"/>
  <c r="H250" i="13"/>
  <c r="I250" i="13" s="1"/>
  <c r="H27" i="13"/>
  <c r="I27" i="13" s="1"/>
  <c r="G195" i="16"/>
  <c r="F237" i="13"/>
  <c r="N27" i="10"/>
  <c r="O27" i="10" s="1"/>
  <c r="G15" i="13"/>
  <c r="H185" i="16"/>
  <c r="H186" i="16" s="1"/>
  <c r="S21" i="12"/>
  <c r="W21" i="12" s="1"/>
  <c r="H279" i="13"/>
  <c r="H280" i="13" s="1"/>
  <c r="H277" i="16"/>
  <c r="S34" i="12"/>
  <c r="W34" i="12" s="1"/>
  <c r="H371" i="13"/>
  <c r="H234" i="13"/>
  <c r="I234" i="13" s="1"/>
  <c r="N34" i="11"/>
  <c r="O34" i="11" s="1"/>
  <c r="G265" i="13"/>
  <c r="H67" i="13"/>
  <c r="I66" i="13"/>
  <c r="H79" i="13"/>
  <c r="I78" i="13"/>
  <c r="G19" i="13"/>
  <c r="H256" i="16"/>
  <c r="S31" i="12"/>
  <c r="W31" i="12" s="1"/>
  <c r="H350" i="13"/>
  <c r="G221" i="13"/>
  <c r="N23" i="11"/>
  <c r="O23" i="11" s="1"/>
  <c r="H199" i="16"/>
  <c r="S23" i="12"/>
  <c r="W23" i="12" s="1"/>
  <c r="H293" i="13"/>
  <c r="F207" i="16"/>
  <c r="H273" i="16"/>
  <c r="I272" i="16"/>
  <c r="G245" i="13"/>
  <c r="N29" i="11"/>
  <c r="O29" i="11" s="1"/>
  <c r="H246" i="13"/>
  <c r="I246" i="13" s="1"/>
  <c r="G242" i="13"/>
  <c r="H265" i="16"/>
  <c r="H266" i="16" s="1"/>
  <c r="S32" i="12"/>
  <c r="W32" i="12" s="1"/>
  <c r="R32" i="12"/>
  <c r="V32" i="12" s="1"/>
  <c r="H359" i="13"/>
  <c r="H360" i="13" s="1"/>
  <c r="H208" i="16"/>
  <c r="Z24" i="12"/>
  <c r="AF16" i="23" s="1"/>
  <c r="AG16" i="23" s="1"/>
  <c r="R24" i="12"/>
  <c r="V24" i="12" s="1"/>
  <c r="H302" i="13"/>
  <c r="H303" i="13" s="1"/>
  <c r="I333" i="13"/>
  <c r="H216" i="16"/>
  <c r="I215" i="16"/>
  <c r="H218" i="13"/>
  <c r="G226" i="13"/>
  <c r="F330" i="13"/>
  <c r="H249" i="16"/>
  <c r="S30" i="12"/>
  <c r="W30" i="12" s="1"/>
  <c r="H343" i="13"/>
  <c r="H43" i="16"/>
  <c r="I42" i="16"/>
  <c r="G6" i="13"/>
  <c r="G289" i="13"/>
  <c r="H237" i="16"/>
  <c r="H238" i="16" s="1"/>
  <c r="Z28" i="12"/>
  <c r="AF20" i="23" s="1"/>
  <c r="AG20" i="23" s="1"/>
  <c r="R28" i="12"/>
  <c r="V28" i="12" s="1"/>
  <c r="H331" i="13"/>
  <c r="S9" i="11"/>
  <c r="W9" i="11" s="1"/>
  <c r="G31" i="16"/>
  <c r="G32" i="16" s="1"/>
  <c r="G62" i="13"/>
  <c r="G63" i="13" s="1"/>
  <c r="H280" i="16"/>
  <c r="I279" i="16"/>
  <c r="H220" i="16"/>
  <c r="S26" i="12"/>
  <c r="W26" i="12" s="1"/>
  <c r="H314" i="13"/>
  <c r="H33" i="16"/>
  <c r="H34" i="16" s="1"/>
  <c r="Z9" i="12"/>
  <c r="AF6" i="23" s="1"/>
  <c r="AG6" i="23" s="1"/>
  <c r="R9" i="12"/>
  <c r="V9" i="12" s="1"/>
  <c r="H64" i="13"/>
  <c r="H65" i="13" s="1"/>
  <c r="H45" i="16"/>
  <c r="H46" i="16" s="1"/>
  <c r="S11" i="12"/>
  <c r="W11" i="12" s="1"/>
  <c r="H76" i="13"/>
  <c r="I239" i="13"/>
  <c r="F358" i="13"/>
  <c r="G72" i="13"/>
  <c r="N30" i="11"/>
  <c r="O30" i="11" s="1"/>
  <c r="G249" i="13"/>
  <c r="H259" i="16"/>
  <c r="I258" i="16"/>
  <c r="H202" i="16"/>
  <c r="I201" i="16"/>
  <c r="H367" i="13"/>
  <c r="I366" i="13"/>
  <c r="I187" i="16"/>
  <c r="H242" i="16"/>
  <c r="S29" i="12"/>
  <c r="W29" i="12" s="1"/>
  <c r="H336" i="13"/>
  <c r="G235" i="16"/>
  <c r="G236" i="16" s="1"/>
  <c r="S28" i="11"/>
  <c r="W28" i="11" s="1"/>
  <c r="G329" i="13"/>
  <c r="G330" i="13" s="1"/>
  <c r="H324" i="13"/>
  <c r="I323" i="13"/>
  <c r="F63" i="13"/>
  <c r="H259" i="13"/>
  <c r="I259" i="13" s="1"/>
  <c r="H227" i="13"/>
  <c r="I227" i="13" s="1"/>
  <c r="G6" i="8"/>
  <c r="G233" i="13"/>
  <c r="N26" i="11"/>
  <c r="O26" i="11" s="1"/>
  <c r="H210" i="13"/>
  <c r="I210" i="13" s="1"/>
  <c r="G213" i="13"/>
  <c r="N21" i="11"/>
  <c r="O21" i="11" s="1"/>
  <c r="N20" i="11"/>
  <c r="O20" i="11" s="1"/>
  <c r="G209" i="13"/>
  <c r="H310" i="13"/>
  <c r="I309" i="13"/>
  <c r="G26" i="13"/>
  <c r="N12" i="11"/>
  <c r="O12" i="11" s="1"/>
  <c r="G56" i="13"/>
  <c r="G227" i="16"/>
  <c r="S27" i="11"/>
  <c r="W27" i="11" s="1"/>
  <c r="G321" i="13"/>
  <c r="F241" i="13"/>
  <c r="N28" i="10"/>
  <c r="O28" i="10" s="1"/>
  <c r="H252" i="16"/>
  <c r="I251" i="16"/>
  <c r="H20" i="13"/>
  <c r="I20" i="13" s="1"/>
  <c r="G218" i="13"/>
  <c r="H243" i="13"/>
  <c r="I243" i="13" s="1"/>
  <c r="G229" i="13"/>
  <c r="N25" i="11"/>
  <c r="O25" i="11" s="1"/>
  <c r="H374" i="13"/>
  <c r="I373" i="13"/>
  <c r="H223" i="16"/>
  <c r="I222" i="16"/>
  <c r="H16" i="13"/>
  <c r="I16" i="13" s="1"/>
  <c r="H48" i="16"/>
  <c r="I47" i="16"/>
  <c r="F257" i="13"/>
  <c r="N32" i="10"/>
  <c r="O32" i="10" s="1"/>
  <c r="G38" i="16"/>
  <c r="G39" i="16" s="1"/>
  <c r="S10" i="11"/>
  <c r="G69" i="13"/>
  <c r="H353" i="13"/>
  <c r="I352" i="13"/>
  <c r="H296" i="13"/>
  <c r="I295" i="13"/>
  <c r="F301" i="13"/>
  <c r="H262" i="13"/>
  <c r="G258" i="13"/>
  <c r="Q35" i="12"/>
  <c r="H245" i="16"/>
  <c r="I244" i="16"/>
  <c r="H238" i="13"/>
  <c r="I238" i="13" s="1"/>
  <c r="F14" i="13"/>
  <c r="N9" i="10"/>
  <c r="O9" i="10" s="1"/>
  <c r="Q15" i="12"/>
  <c r="I73" i="13"/>
  <c r="I85" i="13"/>
  <c r="H211" i="16"/>
  <c r="I210" i="16"/>
  <c r="H178" i="16"/>
  <c r="S20" i="12"/>
  <c r="W20" i="12" s="1"/>
  <c r="H272" i="13"/>
  <c r="H273" i="13" s="1"/>
  <c r="G186" i="16"/>
  <c r="S8" i="12"/>
  <c r="H55" i="13"/>
  <c r="H56" i="13" s="1"/>
  <c r="H24" i="16"/>
  <c r="H25" i="16" s="1"/>
  <c r="H230" i="13"/>
  <c r="I230" i="13" s="1"/>
  <c r="S15" i="10"/>
  <c r="N8" i="11"/>
  <c r="O8" i="11" s="1"/>
  <c r="G10" i="13"/>
  <c r="G206" i="16"/>
  <c r="G207" i="16" s="1"/>
  <c r="S24" i="11"/>
  <c r="W24" i="11" s="1"/>
  <c r="G300" i="13"/>
  <c r="G301" i="13" s="1"/>
  <c r="F236" i="16"/>
  <c r="H346" i="13"/>
  <c r="I345" i="13"/>
  <c r="Z10" i="12"/>
  <c r="AF7" i="23" s="1"/>
  <c r="AG7" i="23" s="1"/>
  <c r="R10" i="12"/>
  <c r="H71" i="13"/>
  <c r="H72" i="13" s="1"/>
  <c r="H40" i="16"/>
  <c r="H55" i="16"/>
  <c r="I54" i="16"/>
  <c r="G192" i="16"/>
  <c r="S22" i="11"/>
  <c r="W22" i="11" s="1"/>
  <c r="G286" i="13"/>
  <c r="H214" i="13"/>
  <c r="I214" i="13" s="1"/>
  <c r="H266" i="13"/>
  <c r="I266" i="13" s="1"/>
  <c r="H317" i="13"/>
  <c r="I316" i="13"/>
  <c r="F217" i="13"/>
  <c r="N22" i="10"/>
  <c r="O22" i="10" s="1"/>
  <c r="H36" i="16"/>
  <c r="I35" i="16"/>
  <c r="H23" i="13"/>
  <c r="I23" i="13" s="1"/>
  <c r="N31" i="11"/>
  <c r="O31" i="11" s="1"/>
  <c r="G253" i="13"/>
  <c r="N33" i="11"/>
  <c r="O33" i="11" s="1"/>
  <c r="G261" i="13"/>
  <c r="F264" i="16"/>
  <c r="H254" i="13"/>
  <c r="I254" i="13" s="1"/>
  <c r="H222" i="13"/>
  <c r="I222" i="13" s="1"/>
  <c r="F225" i="13"/>
  <c r="N24" i="10"/>
  <c r="O24" i="10" s="1"/>
  <c r="H261" i="13"/>
  <c r="S32" i="11"/>
  <c r="W32" i="11" s="1"/>
  <c r="G263" i="16"/>
  <c r="G264" i="16" s="1"/>
  <c r="H358" i="13"/>
  <c r="G357" i="13"/>
  <c r="G358" i="13" s="1"/>
  <c r="H263" i="16"/>
  <c r="H264" i="16" s="1"/>
  <c r="H339" i="13"/>
  <c r="I338" i="13"/>
  <c r="F32" i="16"/>
  <c r="H305" i="13"/>
  <c r="I304" i="13"/>
  <c r="N10" i="10"/>
  <c r="O10" i="10" s="1"/>
  <c r="F18" i="13"/>
  <c r="H229" i="13"/>
  <c r="G25" i="16"/>
  <c r="C8" i="24"/>
  <c r="E121" i="13" l="1"/>
  <c r="E125" i="13" s="1"/>
  <c r="F89" i="16"/>
  <c r="H6" i="16"/>
  <c r="H37" i="13"/>
  <c r="I37" i="13" s="1"/>
  <c r="G41" i="13"/>
  <c r="E6" i="24" s="1"/>
  <c r="G9" i="16"/>
  <c r="G40" i="13"/>
  <c r="F120" i="13"/>
  <c r="H11" i="16"/>
  <c r="I11" i="16" s="1"/>
  <c r="H42" i="13"/>
  <c r="G38" i="13"/>
  <c r="G44" i="13" s="1"/>
  <c r="G7" i="16"/>
  <c r="G13" i="16" s="1"/>
  <c r="G10" i="16"/>
  <c r="W8" i="12"/>
  <c r="N7" i="11"/>
  <c r="O7" i="11" s="1"/>
  <c r="F268" i="13"/>
  <c r="V10" i="12"/>
  <c r="W10" i="11"/>
  <c r="N10" i="11" s="1"/>
  <c r="O10" i="11" s="1"/>
  <c r="V7" i="12"/>
  <c r="I123" i="13" s="1"/>
  <c r="H26" i="13"/>
  <c r="I26" i="13" s="1"/>
  <c r="I83" i="13"/>
  <c r="I99" i="13"/>
  <c r="G30" i="13"/>
  <c r="AG10" i="23"/>
  <c r="Z27" i="12"/>
  <c r="AF19" i="23" s="1"/>
  <c r="AG19" i="23" s="1"/>
  <c r="M27" i="12"/>
  <c r="M32" i="12"/>
  <c r="M9" i="12"/>
  <c r="M24" i="12"/>
  <c r="M10" i="12"/>
  <c r="H41" i="13" s="1"/>
  <c r="M13" i="12"/>
  <c r="M28" i="12"/>
  <c r="I194" i="16"/>
  <c r="I68" i="16"/>
  <c r="AG14" i="23"/>
  <c r="H7" i="13"/>
  <c r="I7" i="13" s="1"/>
  <c r="H48" i="13"/>
  <c r="H49" i="13" s="1"/>
  <c r="S7" i="12"/>
  <c r="H38" i="13" s="1"/>
  <c r="H17" i="16"/>
  <c r="H18" i="16" s="1"/>
  <c r="Z7" i="12"/>
  <c r="AF4" i="23" s="1"/>
  <c r="AG4" i="23" s="1"/>
  <c r="Z32" i="12"/>
  <c r="AF24" i="23" s="1"/>
  <c r="AG24" i="23" s="1"/>
  <c r="I185" i="16"/>
  <c r="I66" i="16"/>
  <c r="I288" i="13"/>
  <c r="I19" i="16"/>
  <c r="I50" i="13"/>
  <c r="I246" i="16"/>
  <c r="I97" i="13"/>
  <c r="S13" i="12"/>
  <c r="W13" i="12" s="1"/>
  <c r="H59" i="16"/>
  <c r="H90" i="13"/>
  <c r="D8" i="24"/>
  <c r="H31" i="13"/>
  <c r="I31" i="13" s="1"/>
  <c r="H93" i="13"/>
  <c r="I92" i="13"/>
  <c r="O35" i="10"/>
  <c r="O15" i="10" s="1"/>
  <c r="O16" i="10" s="1"/>
  <c r="O50" i="10" s="1"/>
  <c r="H62" i="16"/>
  <c r="I61" i="16"/>
  <c r="N33" i="12"/>
  <c r="O33" i="12" s="1"/>
  <c r="N12" i="12"/>
  <c r="O12" i="12" s="1"/>
  <c r="N25" i="12"/>
  <c r="O25" i="12" s="1"/>
  <c r="I5" i="8"/>
  <c r="O50" i="9"/>
  <c r="J52" i="2" s="1"/>
  <c r="F58" i="2" s="1"/>
  <c r="I64" i="13"/>
  <c r="E8" i="24"/>
  <c r="U15" i="12"/>
  <c r="E90" i="16"/>
  <c r="E94" i="16" s="1"/>
  <c r="I34" i="13"/>
  <c r="I359" i="13"/>
  <c r="V15" i="11"/>
  <c r="I237" i="16"/>
  <c r="V35" i="11"/>
  <c r="R35" i="12"/>
  <c r="I45" i="16"/>
  <c r="W35" i="10"/>
  <c r="D7" i="24"/>
  <c r="I261" i="13"/>
  <c r="I24" i="16"/>
  <c r="I302" i="13"/>
  <c r="F86" i="16"/>
  <c r="W15" i="10"/>
  <c r="I218" i="13"/>
  <c r="I33" i="16"/>
  <c r="U35" i="12"/>
  <c r="I229" i="13"/>
  <c r="I357" i="13"/>
  <c r="H179" i="16"/>
  <c r="I178" i="16"/>
  <c r="H15" i="13"/>
  <c r="I15" i="13" s="1"/>
  <c r="H332" i="13"/>
  <c r="I331" i="13"/>
  <c r="H294" i="13"/>
  <c r="I293" i="13"/>
  <c r="G193" i="16"/>
  <c r="I192" i="16"/>
  <c r="H19" i="13"/>
  <c r="I19" i="13" s="1"/>
  <c r="G225" i="13"/>
  <c r="N24" i="11"/>
  <c r="O24" i="11" s="1"/>
  <c r="I12" i="16"/>
  <c r="I262" i="13"/>
  <c r="G322" i="13"/>
  <c r="I55" i="13"/>
  <c r="H337" i="13"/>
  <c r="I336" i="13"/>
  <c r="H22" i="13"/>
  <c r="I22" i="13" s="1"/>
  <c r="N11" i="12"/>
  <c r="O11" i="12" s="1"/>
  <c r="H31" i="16"/>
  <c r="S9" i="12"/>
  <c r="W9" i="12" s="1"/>
  <c r="H62" i="13"/>
  <c r="H233" i="13"/>
  <c r="I233" i="13" s="1"/>
  <c r="N26" i="12"/>
  <c r="O26" i="12" s="1"/>
  <c r="H242" i="13"/>
  <c r="I242" i="13" s="1"/>
  <c r="H344" i="13"/>
  <c r="I343" i="13"/>
  <c r="H221" i="13"/>
  <c r="I221" i="13" s="1"/>
  <c r="N23" i="12"/>
  <c r="O23" i="12" s="1"/>
  <c r="H351" i="13"/>
  <c r="I350" i="13"/>
  <c r="H372" i="13"/>
  <c r="I371" i="13"/>
  <c r="H213" i="13"/>
  <c r="I213" i="13" s="1"/>
  <c r="N21" i="12"/>
  <c r="O21" i="12" s="1"/>
  <c r="H227" i="16"/>
  <c r="H228" i="16" s="1"/>
  <c r="S27" i="12"/>
  <c r="W27" i="12" s="1"/>
  <c r="H321" i="13"/>
  <c r="H322" i="13" s="1"/>
  <c r="G18" i="13"/>
  <c r="H77" i="13"/>
  <c r="I76" i="13"/>
  <c r="G237" i="13"/>
  <c r="N27" i="11"/>
  <c r="O27" i="11" s="1"/>
  <c r="H245" i="13"/>
  <c r="I245" i="13" s="1"/>
  <c r="N29" i="12"/>
  <c r="O29" i="12" s="1"/>
  <c r="I71" i="13"/>
  <c r="H221" i="16"/>
  <c r="I220" i="16"/>
  <c r="H235" i="16"/>
  <c r="H236" i="16" s="1"/>
  <c r="S28" i="12"/>
  <c r="W28" i="12" s="1"/>
  <c r="H329" i="13"/>
  <c r="S15" i="11"/>
  <c r="H249" i="13"/>
  <c r="I249" i="13" s="1"/>
  <c r="N30" i="12"/>
  <c r="O30" i="12" s="1"/>
  <c r="I279" i="13"/>
  <c r="H226" i="13"/>
  <c r="I226" i="13" s="1"/>
  <c r="H258" i="13"/>
  <c r="I258" i="13" s="1"/>
  <c r="H200" i="16"/>
  <c r="I199" i="16"/>
  <c r="H253" i="13"/>
  <c r="I253" i="13" s="1"/>
  <c r="N31" i="12"/>
  <c r="O31" i="12" s="1"/>
  <c r="H265" i="13"/>
  <c r="N34" i="12"/>
  <c r="O34" i="12" s="1"/>
  <c r="H217" i="13"/>
  <c r="N22" i="12"/>
  <c r="O22" i="12" s="1"/>
  <c r="N32" i="11"/>
  <c r="O32" i="11" s="1"/>
  <c r="G257" i="13"/>
  <c r="G217" i="13"/>
  <c r="N22" i="11"/>
  <c r="O22" i="11" s="1"/>
  <c r="H315" i="13"/>
  <c r="I314" i="13"/>
  <c r="H209" i="16"/>
  <c r="I208" i="16"/>
  <c r="S10" i="12"/>
  <c r="H69" i="13"/>
  <c r="H70" i="13" s="1"/>
  <c r="H38" i="16"/>
  <c r="I272" i="13"/>
  <c r="R15" i="12"/>
  <c r="I263" i="16"/>
  <c r="G287" i="13"/>
  <c r="I286" i="13"/>
  <c r="H41" i="16"/>
  <c r="I40" i="16"/>
  <c r="H10" i="13"/>
  <c r="I10" i="13" s="1"/>
  <c r="N8" i="12"/>
  <c r="O8" i="12" s="1"/>
  <c r="I11" i="13"/>
  <c r="N20" i="12"/>
  <c r="O20" i="12" s="1"/>
  <c r="H209" i="13"/>
  <c r="I209" i="13" s="1"/>
  <c r="G70" i="13"/>
  <c r="G228" i="16"/>
  <c r="S35" i="11"/>
  <c r="G241" i="13"/>
  <c r="N28" i="11"/>
  <c r="O28" i="11" s="1"/>
  <c r="H243" i="16"/>
  <c r="I242" i="16"/>
  <c r="N9" i="11"/>
  <c r="O9" i="11" s="1"/>
  <c r="G14" i="13"/>
  <c r="H250" i="16"/>
  <c r="I249" i="16"/>
  <c r="I265" i="16"/>
  <c r="H206" i="16"/>
  <c r="H207" i="16" s="1"/>
  <c r="S24" i="12"/>
  <c r="W24" i="12" s="1"/>
  <c r="H300" i="13"/>
  <c r="H301" i="13" s="1"/>
  <c r="H257" i="13"/>
  <c r="H257" i="16"/>
  <c r="I256" i="16"/>
  <c r="H278" i="16"/>
  <c r="I277" i="16"/>
  <c r="E86" i="16"/>
  <c r="C7" i="24"/>
  <c r="G89" i="16" l="1"/>
  <c r="F121" i="13"/>
  <c r="H9" i="16"/>
  <c r="I9" i="16" s="1"/>
  <c r="H40" i="13"/>
  <c r="F5" i="24" s="1"/>
  <c r="E5" i="24"/>
  <c r="G120" i="13"/>
  <c r="H7" i="16"/>
  <c r="H13" i="16" s="1"/>
  <c r="I41" i="13"/>
  <c r="G6" i="24" s="1"/>
  <c r="F6" i="24"/>
  <c r="H10" i="16"/>
  <c r="I10" i="16" s="1"/>
  <c r="I38" i="13"/>
  <c r="F4" i="24"/>
  <c r="I42" i="13"/>
  <c r="G4" i="24" s="1"/>
  <c r="G268" i="13"/>
  <c r="W10" i="12"/>
  <c r="N10" i="12" s="1"/>
  <c r="O10" i="12" s="1"/>
  <c r="H6" i="13"/>
  <c r="I6" i="13" s="1"/>
  <c r="W7" i="12"/>
  <c r="N7" i="12" s="1"/>
  <c r="O7" i="12" s="1"/>
  <c r="J58" i="2"/>
  <c r="E170" i="13"/>
  <c r="E139" i="16"/>
  <c r="I217" i="13"/>
  <c r="K4" i="23"/>
  <c r="AH4" i="23"/>
  <c r="I17" i="16"/>
  <c r="I257" i="13"/>
  <c r="I69" i="13"/>
  <c r="H12" i="19"/>
  <c r="C18" i="24"/>
  <c r="I48" i="13"/>
  <c r="F117" i="13"/>
  <c r="J11" i="19" s="1"/>
  <c r="H91" i="13"/>
  <c r="I90" i="13"/>
  <c r="H60" i="16"/>
  <c r="I59" i="16"/>
  <c r="H30" i="13"/>
  <c r="I30" i="13" s="1"/>
  <c r="N13" i="12"/>
  <c r="O13" i="12" s="1"/>
  <c r="O35" i="11"/>
  <c r="O15" i="11" s="1"/>
  <c r="O16" i="11" s="1"/>
  <c r="O50" i="11" s="1"/>
  <c r="N52" i="2" s="1"/>
  <c r="N32" i="12"/>
  <c r="O32" i="12" s="1"/>
  <c r="L52" i="2"/>
  <c r="F59" i="2" s="1"/>
  <c r="F139" i="16" s="1"/>
  <c r="J5" i="8"/>
  <c r="I6" i="16"/>
  <c r="E4" i="22"/>
  <c r="E143" i="16"/>
  <c r="E174" i="13"/>
  <c r="H19" i="19" s="1"/>
  <c r="W15" i="11"/>
  <c r="F90" i="16"/>
  <c r="F94" i="16" s="1"/>
  <c r="F96" i="16" s="1"/>
  <c r="V15" i="12"/>
  <c r="F125" i="13"/>
  <c r="W35" i="11"/>
  <c r="I206" i="16"/>
  <c r="S35" i="12"/>
  <c r="V35" i="12"/>
  <c r="H14" i="13"/>
  <c r="N9" i="12"/>
  <c r="O9" i="12" s="1"/>
  <c r="I227" i="16"/>
  <c r="H18" i="13"/>
  <c r="I18" i="13" s="1"/>
  <c r="H330" i="13"/>
  <c r="I329" i="13"/>
  <c r="I265" i="13"/>
  <c r="H241" i="13"/>
  <c r="N28" i="12"/>
  <c r="O28" i="12" s="1"/>
  <c r="H237" i="13"/>
  <c r="I237" i="13" s="1"/>
  <c r="N27" i="12"/>
  <c r="O27" i="12" s="1"/>
  <c r="H63" i="13"/>
  <c r="I62" i="13"/>
  <c r="I300" i="13"/>
  <c r="H39" i="16"/>
  <c r="I38" i="16"/>
  <c r="H32" i="16"/>
  <c r="I31" i="16"/>
  <c r="I321" i="13"/>
  <c r="I235" i="16"/>
  <c r="H225" i="13"/>
  <c r="I225" i="13" s="1"/>
  <c r="N24" i="12"/>
  <c r="O24" i="12" s="1"/>
  <c r="S15" i="12"/>
  <c r="E96" i="16"/>
  <c r="H89" i="16" l="1"/>
  <c r="G121" i="13"/>
  <c r="I40" i="13"/>
  <c r="G5" i="24" s="1"/>
  <c r="H120" i="13"/>
  <c r="I13" i="16"/>
  <c r="H44" i="13"/>
  <c r="H117" i="13" s="1"/>
  <c r="H268" i="13"/>
  <c r="I89" i="16"/>
  <c r="G9" i="24"/>
  <c r="F9" i="24"/>
  <c r="G117" i="13"/>
  <c r="L11" i="19" s="1"/>
  <c r="E7" i="24"/>
  <c r="J12" i="19"/>
  <c r="D18" i="24"/>
  <c r="G90" i="16"/>
  <c r="G94" i="16" s="1"/>
  <c r="E7" i="22"/>
  <c r="E9" i="22" s="1"/>
  <c r="E13" i="22" s="1"/>
  <c r="E15" i="22" s="1"/>
  <c r="O35" i="12"/>
  <c r="O15" i="12" s="1"/>
  <c r="O16" i="12" s="1"/>
  <c r="O50" i="12" s="1"/>
  <c r="P52" i="2" s="1"/>
  <c r="K5" i="8"/>
  <c r="F60" i="2"/>
  <c r="G139" i="16" s="1"/>
  <c r="F4" i="22"/>
  <c r="F7" i="22" s="1"/>
  <c r="F9" i="22" s="1"/>
  <c r="F143" i="16"/>
  <c r="F174" i="13"/>
  <c r="J19" i="19" s="1"/>
  <c r="H86" i="16"/>
  <c r="E140" i="16"/>
  <c r="E141" i="16" s="1"/>
  <c r="E171" i="13"/>
  <c r="E172" i="13" s="1"/>
  <c r="J62" i="2"/>
  <c r="F127" i="13"/>
  <c r="W35" i="12"/>
  <c r="W15" i="12"/>
  <c r="G125" i="13"/>
  <c r="I241" i="13"/>
  <c r="I14" i="13"/>
  <c r="E117" i="13"/>
  <c r="H121" i="13" l="1"/>
  <c r="I44" i="13"/>
  <c r="J18" i="19"/>
  <c r="G8" i="24"/>
  <c r="F8" i="24"/>
  <c r="L12" i="19"/>
  <c r="E18" i="24"/>
  <c r="G4" i="22"/>
  <c r="G7" i="22" s="1"/>
  <c r="G9" i="22" s="1"/>
  <c r="I7" i="16"/>
  <c r="G143" i="16"/>
  <c r="G174" i="13"/>
  <c r="L19" i="19" s="1"/>
  <c r="G5" i="8"/>
  <c r="L5" i="8"/>
  <c r="F13" i="22"/>
  <c r="F15" i="22" s="1"/>
  <c r="F17" i="22" s="1"/>
  <c r="F170" i="13"/>
  <c r="F171" i="13"/>
  <c r="F172" i="13" s="1"/>
  <c r="F140" i="16"/>
  <c r="F141" i="16" s="1"/>
  <c r="L59" i="2"/>
  <c r="L62" i="2" s="1"/>
  <c r="I268" i="13"/>
  <c r="I121" i="13"/>
  <c r="E176" i="13"/>
  <c r="J66" i="2"/>
  <c r="E145" i="16"/>
  <c r="H90" i="16"/>
  <c r="H94" i="16" s="1"/>
  <c r="I94" i="16" s="1"/>
  <c r="E17" i="22"/>
  <c r="G127" i="13"/>
  <c r="I120" i="13"/>
  <c r="G86" i="16"/>
  <c r="H11" i="19"/>
  <c r="E127" i="13"/>
  <c r="H96" i="16" l="1"/>
  <c r="H125" i="13"/>
  <c r="I125" i="13" s="1"/>
  <c r="G7" i="24"/>
  <c r="F7" i="24"/>
  <c r="H20" i="19"/>
  <c r="H22" i="19" s="1"/>
  <c r="C43" i="24"/>
  <c r="C44" i="24" s="1"/>
  <c r="G170" i="13"/>
  <c r="G13" i="22"/>
  <c r="G15" i="22" s="1"/>
  <c r="G171" i="13"/>
  <c r="G172" i="13" s="1"/>
  <c r="G140" i="16"/>
  <c r="G141" i="16" s="1"/>
  <c r="N60" i="2"/>
  <c r="N62" i="2" s="1"/>
  <c r="N66" i="2" s="1"/>
  <c r="F61" i="2"/>
  <c r="H139" i="16" s="1"/>
  <c r="G8" i="8"/>
  <c r="F176" i="13"/>
  <c r="L66" i="2"/>
  <c r="F145" i="16"/>
  <c r="I90" i="16"/>
  <c r="E147" i="16"/>
  <c r="E150" i="16" s="1"/>
  <c r="E178" i="13"/>
  <c r="E181" i="13" s="1"/>
  <c r="L18" i="19"/>
  <c r="I86" i="16"/>
  <c r="G96" i="16"/>
  <c r="H18" i="19"/>
  <c r="F18" i="24" l="1"/>
  <c r="J20" i="19"/>
  <c r="J22" i="19" s="1"/>
  <c r="D43" i="24"/>
  <c r="D44" i="24" s="1"/>
  <c r="G176" i="13"/>
  <c r="G145" i="16"/>
  <c r="N12" i="19"/>
  <c r="P12" i="19" s="1"/>
  <c r="F147" i="16"/>
  <c r="F150" i="16" s="1"/>
  <c r="F178" i="13"/>
  <c r="F181" i="13" s="1"/>
  <c r="H4" i="22"/>
  <c r="H174" i="13"/>
  <c r="H143" i="16"/>
  <c r="I96" i="16"/>
  <c r="G17" i="22"/>
  <c r="G178" i="13"/>
  <c r="G147" i="16"/>
  <c r="N11" i="19"/>
  <c r="H127" i="13"/>
  <c r="I127" i="13" s="1"/>
  <c r="I117" i="13"/>
  <c r="D13" i="18" s="1"/>
  <c r="D14" i="18" l="1"/>
  <c r="H14" i="18" s="1"/>
  <c r="G18" i="24"/>
  <c r="L20" i="19"/>
  <c r="L22" i="19" s="1"/>
  <c r="E43" i="24"/>
  <c r="E44" i="24" s="1"/>
  <c r="H7" i="22"/>
  <c r="H140" i="16"/>
  <c r="H171" i="13"/>
  <c r="H170" i="13"/>
  <c r="P61" i="2"/>
  <c r="P62" i="2" s="1"/>
  <c r="N19" i="19"/>
  <c r="G150" i="16"/>
  <c r="G181" i="13"/>
  <c r="H13" i="18"/>
  <c r="P11" i="19"/>
  <c r="N18" i="19" l="1"/>
  <c r="H172" i="13"/>
  <c r="H145" i="16"/>
  <c r="P66" i="2"/>
  <c r="H176" i="13"/>
  <c r="F43" i="24" s="1"/>
  <c r="F44" i="24" s="1"/>
  <c r="H9" i="22"/>
  <c r="H141" i="16"/>
  <c r="N20" i="19" l="1"/>
  <c r="H13" i="22"/>
  <c r="H178" i="13"/>
  <c r="H147" i="16"/>
  <c r="H15" i="22" l="1"/>
  <c r="H150" i="16"/>
  <c r="H181" i="13"/>
  <c r="N22" i="19"/>
  <c r="D35" i="18"/>
  <c r="H17" i="22" l="1"/>
  <c r="E35" i="18"/>
  <c r="H35" i="18"/>
  <c r="G35" i="18"/>
  <c r="F35" i="18"/>
  <c r="V4" i="23" l="1"/>
  <c r="U4" i="23"/>
  <c r="D156" i="13"/>
  <c r="B35" i="24" s="1"/>
  <c r="D125" i="16"/>
  <c r="I125" i="16" s="1"/>
  <c r="R41" i="2"/>
  <c r="F27" i="8" s="1"/>
  <c r="H48" i="2"/>
  <c r="H52" i="2" s="1"/>
  <c r="F57" i="2" s="1"/>
  <c r="D139" i="16" s="1"/>
  <c r="Z4" i="23" l="1"/>
  <c r="I156" i="13"/>
  <c r="G35" i="24" s="1"/>
  <c r="D134" i="16"/>
  <c r="D135" i="16" s="1"/>
  <c r="I135" i="16" s="1"/>
  <c r="D165" i="13"/>
  <c r="I165" i="13" s="1"/>
  <c r="R52" i="2"/>
  <c r="D143" i="16"/>
  <c r="K6" i="23"/>
  <c r="D4" i="22"/>
  <c r="D174" i="13"/>
  <c r="R48" i="2"/>
  <c r="G19" i="8" s="1"/>
  <c r="H7" i="23" l="1"/>
  <c r="G7" i="23"/>
  <c r="F7" i="23"/>
  <c r="D166" i="13"/>
  <c r="I166" i="13" s="1"/>
  <c r="I134" i="16"/>
  <c r="D7" i="22"/>
  <c r="I4" i="22"/>
  <c r="E7" i="23"/>
  <c r="D7" i="23"/>
  <c r="G30" i="8"/>
  <c r="I174" i="13"/>
  <c r="D20" i="18" s="1"/>
  <c r="F19" i="19"/>
  <c r="D170" i="13"/>
  <c r="D171" i="13"/>
  <c r="I171" i="13" s="1"/>
  <c r="D140" i="16"/>
  <c r="I140" i="16" s="1"/>
  <c r="H57" i="2"/>
  <c r="H62" i="2" s="1"/>
  <c r="I143" i="16"/>
  <c r="H4" i="23" l="1"/>
  <c r="H9" i="23"/>
  <c r="F4" i="23"/>
  <c r="F9" i="23"/>
  <c r="G4" i="23"/>
  <c r="G9" i="23"/>
  <c r="D141" i="16"/>
  <c r="I141" i="16" s="1"/>
  <c r="F18" i="19"/>
  <c r="P18" i="19" s="1"/>
  <c r="P19" i="19"/>
  <c r="K3" i="23"/>
  <c r="D4" i="23"/>
  <c r="I7" i="23"/>
  <c r="D9" i="23"/>
  <c r="D172" i="13"/>
  <c r="I172" i="13" s="1"/>
  <c r="E4" i="23"/>
  <c r="E9" i="23"/>
  <c r="R62" i="2"/>
  <c r="G31" i="8" s="1"/>
  <c r="D145" i="16"/>
  <c r="I145" i="16" s="1"/>
  <c r="D176" i="13"/>
  <c r="H66" i="2"/>
  <c r="D21" i="18"/>
  <c r="H20" i="18"/>
  <c r="I7" i="22"/>
  <c r="D9" i="22"/>
  <c r="H21" i="18" l="1"/>
  <c r="B48" i="18"/>
  <c r="I9" i="23"/>
  <c r="H13" i="23" s="1"/>
  <c r="H15" i="23" s="1"/>
  <c r="H17" i="23" s="1"/>
  <c r="I9" i="22"/>
  <c r="D13" i="22"/>
  <c r="D147" i="16"/>
  <c r="R66" i="2"/>
  <c r="G32" i="8" s="1"/>
  <c r="D178" i="13"/>
  <c r="B43" i="24"/>
  <c r="B44" i="24" s="1"/>
  <c r="F20" i="19"/>
  <c r="I176" i="13"/>
  <c r="I4" i="23"/>
  <c r="F13" i="23" l="1"/>
  <c r="F15" i="23" s="1"/>
  <c r="F17" i="23" s="1"/>
  <c r="G13" i="23"/>
  <c r="G15" i="23" s="1"/>
  <c r="G17" i="23" s="1"/>
  <c r="D13" i="23"/>
  <c r="E13" i="23"/>
  <c r="E15" i="23" s="1"/>
  <c r="E17" i="23" s="1"/>
  <c r="G43" i="24"/>
  <c r="G44" i="24" s="1"/>
  <c r="D22" i="18"/>
  <c r="D181" i="13"/>
  <c r="I181" i="13" s="1"/>
  <c r="I178" i="13"/>
  <c r="P20" i="19"/>
  <c r="F22" i="19"/>
  <c r="P22" i="19" s="1"/>
  <c r="D15" i="22"/>
  <c r="I13" i="22"/>
  <c r="D150" i="16"/>
  <c r="I150" i="16" s="1"/>
  <c r="I147" i="16"/>
  <c r="F48" i="18" l="1"/>
  <c r="H22" i="18"/>
  <c r="D23" i="18"/>
  <c r="G5" i="18" s="1"/>
  <c r="G9" i="18" s="1"/>
  <c r="I15" i="22"/>
  <c r="D17" i="22"/>
  <c r="I17" i="22" s="1"/>
  <c r="D15" i="23"/>
  <c r="I13" i="23"/>
  <c r="H23" i="18" l="1"/>
  <c r="F5" i="18"/>
  <c r="D36" i="18"/>
  <c r="I15" i="23"/>
  <c r="D17" i="23"/>
  <c r="I17" i="23" s="1"/>
  <c r="E36" i="18" l="1"/>
  <c r="E37" i="18" s="1"/>
  <c r="H36" i="18"/>
  <c r="H37" i="18" s="1"/>
  <c r="G36" i="18"/>
  <c r="G37" i="18" s="1"/>
  <c r="F36" i="18"/>
  <c r="F37" i="18" s="1"/>
  <c r="D37" i="18"/>
  <c r="F9" i="18"/>
  <c r="H9" i="18" s="1"/>
  <c r="H5" i="18"/>
  <c r="J53" i="12"/>
</calcChain>
</file>

<file path=xl/sharedStrings.xml><?xml version="1.0" encoding="utf-8"?>
<sst xmlns="http://schemas.openxmlformats.org/spreadsheetml/2006/main" count="2238" uniqueCount="679">
  <si>
    <t>Prefix</t>
  </si>
  <si>
    <t>First</t>
  </si>
  <si>
    <t>Middle</t>
  </si>
  <si>
    <t>Last</t>
  </si>
  <si>
    <t>Suffix</t>
  </si>
  <si>
    <t>A. Senior/Key Person</t>
  </si>
  <si>
    <t>B. Other Personnel</t>
  </si>
  <si>
    <t xml:space="preserve"># </t>
  </si>
  <si>
    <t>Total Number Other Personnel</t>
  </si>
  <si>
    <t>Total Other Personnel</t>
  </si>
  <si>
    <t>Total Salary, Wages and Fringe Benefits (A+B)</t>
  </si>
  <si>
    <t>C. Equipment Description</t>
  </si>
  <si>
    <t>List items and dollar amount for each item exceeding $5000</t>
  </si>
  <si>
    <t>D. Travel</t>
  </si>
  <si>
    <t>Foreign Travel Costs</t>
  </si>
  <si>
    <t>Total Equipment</t>
  </si>
  <si>
    <t>Total Travel Cost</t>
  </si>
  <si>
    <t>E. Participant/Trainee Support Costs</t>
  </si>
  <si>
    <t>Number of Participants/Trainees</t>
  </si>
  <si>
    <t>F. Other Direct Costs</t>
  </si>
  <si>
    <t>Materials and Supplies</t>
  </si>
  <si>
    <t>Publication Costs</t>
  </si>
  <si>
    <t>Consultant Services</t>
  </si>
  <si>
    <t>Subawards/Consortium/Contractual Costs</t>
  </si>
  <si>
    <t>Stipends</t>
  </si>
  <si>
    <t>Travel</t>
  </si>
  <si>
    <t>Subsistence</t>
  </si>
  <si>
    <t>Other</t>
  </si>
  <si>
    <t>Total Other Direct Costs</t>
  </si>
  <si>
    <t>G. Direct Costs</t>
  </si>
  <si>
    <t>Total Indirect Costs</t>
  </si>
  <si>
    <t>Total Senior/Key Personnel</t>
  </si>
  <si>
    <t>Year 1</t>
  </si>
  <si>
    <t>Year 2</t>
  </si>
  <si>
    <t>Year 3</t>
  </si>
  <si>
    <t>Year 4</t>
  </si>
  <si>
    <t>Year 5</t>
  </si>
  <si>
    <t>Total</t>
  </si>
  <si>
    <t>Funds Requested</t>
  </si>
  <si>
    <t>Project Role</t>
  </si>
  <si>
    <t>Base Salary</t>
  </si>
  <si>
    <t>Requested Salary</t>
  </si>
  <si>
    <t>Fringe Benefits</t>
  </si>
  <si>
    <t>TDC</t>
  </si>
  <si>
    <t>SWFB</t>
  </si>
  <si>
    <t>Total Direct Costs (A thru F)</t>
  </si>
  <si>
    <t>Tuition</t>
  </si>
  <si>
    <t>Yr</t>
  </si>
  <si>
    <t>Total Number Senior Key Personnel</t>
  </si>
  <si>
    <t>Total Number for all additional Senior Key Personnel</t>
  </si>
  <si>
    <t>Dr</t>
  </si>
  <si>
    <t>Mr</t>
  </si>
  <si>
    <t>Mrs</t>
  </si>
  <si>
    <t>Ms</t>
  </si>
  <si>
    <t>Prof</t>
  </si>
  <si>
    <t>Total Support Costs</t>
  </si>
  <si>
    <t>Cal Months</t>
  </si>
  <si>
    <t>Acad Months</t>
  </si>
  <si>
    <t>Sum Months</t>
  </si>
  <si>
    <t>Total Funds requested for all additional Senior/Key Personnel</t>
  </si>
  <si>
    <t>Federal</t>
  </si>
  <si>
    <t>Grad Fringe</t>
  </si>
  <si>
    <t>cal</t>
  </si>
  <si>
    <t>acad</t>
  </si>
  <si>
    <t>sum</t>
  </si>
  <si>
    <t>Summer</t>
  </si>
  <si>
    <t>Full</t>
  </si>
  <si>
    <t>Temp</t>
  </si>
  <si>
    <t>Yes</t>
  </si>
  <si>
    <t>Equipment Item</t>
  </si>
  <si>
    <t>Personnel Year 1</t>
  </si>
  <si>
    <t>Syracuse University Sponsored Programs Budget Template</t>
  </si>
  <si>
    <t>Personnel Year 2</t>
  </si>
  <si>
    <t>Personnel Year 3</t>
  </si>
  <si>
    <t>Personnel Year 4</t>
  </si>
  <si>
    <t>Personnel Year 5</t>
  </si>
  <si>
    <t>Non-personnel</t>
  </si>
  <si>
    <t>Budget Summary</t>
  </si>
  <si>
    <t>Total ($)</t>
  </si>
  <si>
    <t>Section A, Senior/Key Person</t>
  </si>
  <si>
    <t>Section B, Other Personnel</t>
  </si>
  <si>
    <t>Section C, Equipment</t>
  </si>
  <si>
    <t>Section D, Travel</t>
  </si>
  <si>
    <t>Domestic</t>
  </si>
  <si>
    <t>Foreign</t>
  </si>
  <si>
    <t>Section E, Participant/Trainee Support Calls</t>
  </si>
  <si>
    <t>Section F, Other Direct Costs</t>
  </si>
  <si>
    <t>Section G, Direct Costs (A thru F)</t>
  </si>
  <si>
    <t>Section H, Indirect Costs</t>
  </si>
  <si>
    <t>Section I, Total Direct and Indirect Costs (G + H)</t>
  </si>
  <si>
    <t>PI</t>
  </si>
  <si>
    <t>Co-PI</t>
  </si>
  <si>
    <t>Co-Investigator</t>
  </si>
  <si>
    <t>Escalation Rate</t>
  </si>
  <si>
    <t>Start Date:</t>
  </si>
  <si>
    <t>Roles</t>
  </si>
  <si>
    <t>F&amp;A Rate</t>
  </si>
  <si>
    <t>Base</t>
  </si>
  <si>
    <t>Sal</t>
  </si>
  <si>
    <t>Sponsor Type</t>
  </si>
  <si>
    <t>Duration</t>
  </si>
  <si>
    <t>First Year Rate</t>
  </si>
  <si>
    <t>Tuition Rate</t>
  </si>
  <si>
    <t>Enter Other Rate if applicable</t>
  </si>
  <si>
    <t>F&amp;A Rate (%)</t>
  </si>
  <si>
    <t>F&amp;A Base ($)</t>
  </si>
  <si>
    <t>F&amp;A Type</t>
  </si>
  <si>
    <t>H. Facilities and Administration Costs (i.e. Indirect Costs)</t>
  </si>
  <si>
    <t>I. Total Direct and F&amp;A Costs</t>
  </si>
  <si>
    <t>Total Direct and F&amp;A Costs (G+H)</t>
  </si>
  <si>
    <t>year 1</t>
  </si>
  <si>
    <t>year 2</t>
  </si>
  <si>
    <t>year 3</t>
  </si>
  <si>
    <t>Project Duration</t>
  </si>
  <si>
    <t>Year(s)</t>
  </si>
  <si>
    <t>Syracuse University Budget</t>
  </si>
  <si>
    <t>Principal Investigator:</t>
  </si>
  <si>
    <t>BUDGET CATEGORY</t>
  </si>
  <si>
    <t>A.  SENIOR PERSONNEL</t>
  </si>
  <si>
    <t>OSA Code</t>
  </si>
  <si>
    <t>Academic</t>
  </si>
  <si>
    <t>Calendar</t>
  </si>
  <si>
    <t>PROFSM</t>
  </si>
  <si>
    <t>PROFAY</t>
  </si>
  <si>
    <t>TOTAL SENIOR PERSONNEL</t>
  </si>
  <si>
    <t>Investigator Pending Effort</t>
  </si>
  <si>
    <t>Summer Mos.</t>
  </si>
  <si>
    <t>Summ % Effort</t>
  </si>
  <si>
    <t>Academic Mos.</t>
  </si>
  <si>
    <t>Acad % Effort</t>
  </si>
  <si>
    <t>Calendar Mos.</t>
  </si>
  <si>
    <t>Cal % Effort</t>
  </si>
  <si>
    <t>B.  OTHER PERSONNEL</t>
  </si>
  <si>
    <t>GRADST</t>
  </si>
  <si>
    <t>CLERK</t>
  </si>
  <si>
    <t>TOTAL OTHER PERSONNEL</t>
  </si>
  <si>
    <t>TOTAL SALARIES &amp; WAGES</t>
  </si>
  <si>
    <t>C.  FRINGE BENEFITS</t>
  </si>
  <si>
    <t>TOTAL FRINGE BENEFITS</t>
  </si>
  <si>
    <t>FRINGE</t>
  </si>
  <si>
    <t>TOTAL SALARIES, WAGES &amp; FB</t>
  </si>
  <si>
    <t>D.  EQUIPMENT</t>
  </si>
  <si>
    <t>EQUIP</t>
  </si>
  <si>
    <t>TOTAL EQUIPMENT</t>
  </si>
  <si>
    <t>E.  TRAVEL</t>
  </si>
  <si>
    <t>DOTRAV</t>
  </si>
  <si>
    <t>FOTRAV</t>
  </si>
  <si>
    <t>TOTAL TRAVEL</t>
  </si>
  <si>
    <t>TRAVEL</t>
  </si>
  <si>
    <t>F.  PARTICIPANT COSTS/STIPENDS</t>
  </si>
  <si>
    <t>PTSTIP</t>
  </si>
  <si>
    <t>PTSUBS</t>
  </si>
  <si>
    <t>PTOTHR</t>
  </si>
  <si>
    <t>TOTAL PARTICIPANT COSTS</t>
  </si>
  <si>
    <t>G.  OTHER DIRECT COSTS</t>
  </si>
  <si>
    <t>SUPL</t>
  </si>
  <si>
    <t>CONSLT</t>
  </si>
  <si>
    <t>SUB&lt;25</t>
  </si>
  <si>
    <t>SUB&gt;25</t>
  </si>
  <si>
    <t>4)  Alterations &amp; Renovations</t>
  </si>
  <si>
    <t>RENO</t>
  </si>
  <si>
    <t>OTHER (1)</t>
  </si>
  <si>
    <t>OTHER (2)</t>
  </si>
  <si>
    <t>OTHER (3)</t>
  </si>
  <si>
    <t>OTHRNO</t>
  </si>
  <si>
    <t>OTHER (4)</t>
  </si>
  <si>
    <t>OTHER</t>
  </si>
  <si>
    <t>Total Other Direct Costs Subject</t>
  </si>
  <si>
    <t>Total Other Direct Costs Not Subject</t>
  </si>
  <si>
    <t>TOTAL OTHER DIRECT COSTS</t>
  </si>
  <si>
    <t>Indirect Cost Calculations</t>
  </si>
  <si>
    <t>F&amp;A Rate Applied:</t>
  </si>
  <si>
    <t>DC SUBJECT TO F&amp;A (F&amp;A BASE):</t>
  </si>
  <si>
    <t>DC NOT SUBJECT TO F&amp;A:</t>
  </si>
  <si>
    <t>H. TOTAL DIRECT COSTS</t>
  </si>
  <si>
    <t>I.   INDIRECT COSTS</t>
  </si>
  <si>
    <t>FACADM</t>
  </si>
  <si>
    <t>J.  TOTAL PROJECT COSTS</t>
  </si>
  <si>
    <t>Less Cost Sharing</t>
  </si>
  <si>
    <t>K.  TOTAL REQUEST</t>
  </si>
  <si>
    <t>Subcontractor Listing</t>
  </si>
  <si>
    <t>With Overhead</t>
  </si>
  <si>
    <t>Total MTDC</t>
  </si>
  <si>
    <t>1)  Requested of Agency</t>
  </si>
  <si>
    <t>1)  Domestic</t>
  </si>
  <si>
    <t>2)  Foreign</t>
  </si>
  <si>
    <t>1)  Stipend</t>
  </si>
  <si>
    <t>2)  Travel</t>
  </si>
  <si>
    <t>3)  Subsistence</t>
  </si>
  <si>
    <t>4)  Other/Training Related Expenses</t>
  </si>
  <si>
    <t>1)  Materials and Supplies</t>
  </si>
  <si>
    <t>2)  Consultant Services</t>
  </si>
  <si>
    <t>3)  Subcontracts</t>
  </si>
  <si>
    <t>a)  w/overhead (1st $25K each sub)</t>
  </si>
  <si>
    <t>b)  Without overhead</t>
  </si>
  <si>
    <t>5)  Other</t>
  </si>
  <si>
    <t>a)  Publication Costs</t>
  </si>
  <si>
    <t>b)  Purchased Services</t>
  </si>
  <si>
    <t>Purchased Services</t>
  </si>
  <si>
    <t>Rental/User Fees</t>
  </si>
  <si>
    <t>Alterations</t>
  </si>
  <si>
    <t>Other - Describe</t>
  </si>
  <si>
    <t>Inst # (OSP Use)</t>
  </si>
  <si>
    <t>Inst #:</t>
  </si>
  <si>
    <t>Subawards/Consortium/Contractual Costs (Fill in Below)</t>
  </si>
  <si>
    <t>Budget entry must begin on “Personnel Yr 1” tab and proceed accordingly.</t>
  </si>
  <si>
    <t>Color key:</t>
  </si>
  <si>
    <t>Personnel Year 1:</t>
  </si>
  <si>
    <t>Personnel Years 2 - 5:</t>
  </si>
  <si>
    <t>Non-personnel:</t>
  </si>
  <si>
    <t>File Copy Budget:</t>
  </si>
  <si>
    <t>indicate required cells for data entry</t>
  </si>
  <si>
    <t>indicate locked cells that are non-editable.</t>
  </si>
  <si>
    <t>indicate cells that should be filled in for each participating personnel</t>
  </si>
  <si>
    <t>Red shaded fields:</t>
  </si>
  <si>
    <t>Gray shaded fields:</t>
  </si>
  <si>
    <t>Blue shaded fields:</t>
  </si>
  <si>
    <t xml:space="preserve">Personnel Data from Personnel Year 1 tab will be automatically entered in “Personnel Yr 2-5” in accordance with the project duration that is entered at the top of “Personnel Yr 1.”  </t>
  </si>
  <si>
    <t>Complete the other project costs as needed.</t>
  </si>
  <si>
    <t>File Copy Budget is a read-only summary compilation of all entered budget data.  Review the assembled budget for accuracy and if changes are desired, the edits will need to be made on the appropriate data-entry forms preceding the File Copy Budget.</t>
  </si>
  <si>
    <r>
      <t>1.</t>
    </r>
    <r>
      <rPr>
        <sz val="7"/>
        <rFont val="Times New Roman"/>
        <family val="1"/>
      </rPr>
      <t> </t>
    </r>
  </si>
  <si>
    <r>
      <t>2.</t>
    </r>
    <r>
      <rPr>
        <sz val="7"/>
        <rFont val="Times New Roman"/>
        <family val="1"/>
      </rPr>
      <t> </t>
    </r>
  </si>
  <si>
    <r>
      <t>3.</t>
    </r>
    <r>
      <rPr>
        <sz val="7"/>
        <rFont val="Times New Roman"/>
        <family val="1"/>
      </rPr>
      <t> </t>
    </r>
  </si>
  <si>
    <t>This budget is used to create the budget in the PS system and also presents the effort for key personnel that must be devoted to the project in the event an award is made.</t>
  </si>
  <si>
    <t>Notes (will not print)</t>
  </si>
  <si>
    <t>%Effort/Effort Month Calculator</t>
  </si>
  <si>
    <t>% Effort</t>
  </si>
  <si>
    <t>Cal</t>
  </si>
  <si>
    <t>Acad</t>
  </si>
  <si>
    <t>Sum</t>
  </si>
  <si>
    <t>If you know the percent effort but not the corresponding months, please use cells below to calculate.  Enter a percentage below (yellow field) and copy/paste the proper effort month (white) into the corresponding field.</t>
  </si>
  <si>
    <t>Fnd/Prof Soc</t>
  </si>
  <si>
    <t>9. Additional Senior/Key Personnel</t>
  </si>
  <si>
    <t>Enter Additional Senior Key Personnel (up to 15) on the bottom of the worksheet.  The detail will not print, only the summary of the additional personnel in the Senior/Key Person section.</t>
  </si>
  <si>
    <t>Additional Investigator Pending Effort</t>
  </si>
  <si>
    <t>ADDITIONAL SENIOR PERSONNEL</t>
  </si>
  <si>
    <t>TOTAL ADDTNL SENIOR PERSONNEL</t>
  </si>
  <si>
    <t>Additional Investigator Pending Effort (Cont.)</t>
  </si>
  <si>
    <t>Justification</t>
  </si>
  <si>
    <t>Justification Page</t>
  </si>
  <si>
    <t>Justification (Does not print on this page, you must print from Justification page)</t>
  </si>
  <si>
    <t>F&amp;A Description</t>
  </si>
  <si>
    <t>Instruction - Off Campus</t>
  </si>
  <si>
    <t>Other - Off Campus</t>
  </si>
  <si>
    <t>Other - On Campus</t>
  </si>
  <si>
    <t>Research - Off Campus</t>
  </si>
  <si>
    <t>Research - On Campus</t>
  </si>
  <si>
    <t>Instruction - On Campus</t>
  </si>
  <si>
    <t>Research - Off Campus - 26.00%</t>
  </si>
  <si>
    <t>Instruction - Off Campus - 26.00%</t>
  </si>
  <si>
    <t>Other - Off Campus - 26.00%</t>
  </si>
  <si>
    <t>F&amp;A Rate 2</t>
  </si>
  <si>
    <t>F&amp;A Description 2</t>
  </si>
  <si>
    <t>a. Personnel</t>
  </si>
  <si>
    <t>b. Fringe Benefits</t>
  </si>
  <si>
    <t>c. Travel</t>
  </si>
  <si>
    <t>d. Equipment</t>
  </si>
  <si>
    <t>e. Supplies</t>
  </si>
  <si>
    <t>f. Contractual</t>
  </si>
  <si>
    <t>g. Construction</t>
  </si>
  <si>
    <t>h. Other</t>
  </si>
  <si>
    <t>i. Total Direct Charges</t>
  </si>
  <si>
    <t>j. Indirect Charges</t>
  </si>
  <si>
    <t>k Totals</t>
  </si>
  <si>
    <t>6. Object Class Categories</t>
  </si>
  <si>
    <t>1.</t>
  </si>
  <si>
    <t>2.</t>
  </si>
  <si>
    <t>3.</t>
  </si>
  <si>
    <t>4.</t>
  </si>
  <si>
    <t>Estimated Unobligated Funds</t>
  </si>
  <si>
    <t>New or Revised Budget</t>
  </si>
  <si>
    <t>Federal
(c)</t>
  </si>
  <si>
    <t>Non-Federal
(d)</t>
  </si>
  <si>
    <t>Federal
(e)</t>
  </si>
  <si>
    <t>Non-Federal
(f)</t>
  </si>
  <si>
    <t>Total
(g)</t>
  </si>
  <si>
    <t>Catalog of Federal Domestic Assistance Number
(b)</t>
  </si>
  <si>
    <t xml:space="preserve">5. </t>
  </si>
  <si>
    <t>Totals</t>
  </si>
  <si>
    <t>Grant Program Function
or Activity
(a)</t>
  </si>
  <si>
    <t>GRANT PROGRAM, FUNCTION OR ACTIVITY</t>
  </si>
  <si>
    <t>Total
(5)</t>
  </si>
  <si>
    <t>SECTION B - BUDGET CATEGORIES</t>
  </si>
  <si>
    <t>SECTION A - BUDGET SUMMARY</t>
  </si>
  <si>
    <t>7. Program Income</t>
  </si>
  <si>
    <t>SECTION C - NON-FEDERAL RESOURCES</t>
  </si>
  <si>
    <t xml:space="preserve">12. </t>
  </si>
  <si>
    <t xml:space="preserve">11. </t>
  </si>
  <si>
    <t xml:space="preserve">10. </t>
  </si>
  <si>
    <t xml:space="preserve">9. </t>
  </si>
  <si>
    <t xml:space="preserve">8. </t>
  </si>
  <si>
    <t>SECTION D - FORCASTED CASH NEEDS</t>
  </si>
  <si>
    <t>SECTION E - BUDGET ESTIMATES OR FEDERAL FUNDS NEEDED FOR BALANCE OF THE PROJECT</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</si>
  <si>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</si>
  <si>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</si>
  <si>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</si>
  <si>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</si>
  <si>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</si>
  <si>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</si>
  <si>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</si>
  <si>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</si>
  <si>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</si>
  <si>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23. </t>
  </si>
  <si>
    <t>(b) Applicant</t>
  </si>
  <si>
    <t xml:space="preserve">(c) State </t>
  </si>
  <si>
    <t>(d) Other Sources</t>
  </si>
  <si>
    <t>(e) TOTALS</t>
  </si>
  <si>
    <t>(a) Grant Program</t>
  </si>
  <si>
    <r>
      <t xml:space="preserve">TOTAL </t>
    </r>
    <r>
      <rPr>
        <i/>
        <sz val="10"/>
        <rFont val="Arial"/>
        <family val="2"/>
      </rPr>
      <t>(sum of lines 8-11)</t>
    </r>
  </si>
  <si>
    <t>Non-Federal</t>
  </si>
  <si>
    <t>TOTAL (sum of lines 13 and 14)</t>
  </si>
  <si>
    <t>Total for 1st Year</t>
  </si>
  <si>
    <t>1st Quarter</t>
  </si>
  <si>
    <t>2nd Quarter</t>
  </si>
  <si>
    <t>3rd Quarter</t>
  </si>
  <si>
    <t>4th Quarter</t>
  </si>
  <si>
    <t>FUTURE FUNDING PERIODS (Years)</t>
  </si>
  <si>
    <t>(b) First</t>
  </si>
  <si>
    <t>(c) Second</t>
  </si>
  <si>
    <t>(d) Third</t>
  </si>
  <si>
    <t>(e) Fourth</t>
  </si>
  <si>
    <t>TOTAL (sum of lines 16-19)</t>
  </si>
  <si>
    <t>SECTION F - OTHER BUDGET INFORMATION</t>
  </si>
  <si>
    <t>Direct Charges:</t>
  </si>
  <si>
    <t>Remarks:</t>
  </si>
  <si>
    <t xml:space="preserve">22. </t>
  </si>
  <si>
    <t>Indirect Charges:</t>
  </si>
  <si>
    <t>BUDGET INFORMATION - Non-Construction Programs</t>
  </si>
  <si>
    <t>U.S. DEPARTMENT OF EDUCATION</t>
  </si>
  <si>
    <t>BUDGET INFORMATION</t>
  </si>
  <si>
    <t>NON-CONSTRUCTION PROGRAMS</t>
  </si>
  <si>
    <t>OMB Control Number:  1894-0008</t>
  </si>
  <si>
    <t xml:space="preserve">Name of Institution/Organization       </t>
  </si>
  <si>
    <t>Applicants requesting funding for only one year should complete the column under "Project Year 1."  Applicants requesting funding for multi-year grants should complete all applicable columns.  Please read all instructions before completing form.</t>
  </si>
  <si>
    <t>U.S. DEPARTMENT OF EDUCATION FUNDS</t>
  </si>
  <si>
    <t>Budget Categories</t>
  </si>
  <si>
    <t>Project Year 1</t>
  </si>
  <si>
    <t>(a)</t>
  </si>
  <si>
    <t>Project Year 2</t>
  </si>
  <si>
    <t>(b)</t>
  </si>
  <si>
    <t>Project Year 3</t>
  </si>
  <si>
    <t>(c)</t>
  </si>
  <si>
    <t>Project Year 4</t>
  </si>
  <si>
    <t>(d)</t>
  </si>
  <si>
    <t>Project Year 5</t>
  </si>
  <si>
    <t>(e)</t>
  </si>
  <si>
    <t>(f)</t>
  </si>
  <si>
    <r>
      <t xml:space="preserve">*Indirect Cost Information </t>
    </r>
    <r>
      <rPr>
        <b/>
        <i/>
        <sz val="10"/>
        <rFont val="Times New Roman"/>
        <family val="1"/>
      </rPr>
      <t>(To Be Completed by Your Business Office</t>
    </r>
    <r>
      <rPr>
        <b/>
        <sz val="10"/>
        <rFont val="Times New Roman"/>
        <family val="1"/>
      </rPr>
      <t>):</t>
    </r>
  </si>
  <si>
    <t>If you are requesting reimbursement for indirect costs on line 10, please answer the following questions:</t>
  </si>
  <si>
    <t>Syracuse University</t>
  </si>
  <si>
    <t>(2)</t>
  </si>
  <si>
    <t>If yes, please provide the following information:</t>
  </si>
  <si>
    <t>Period Covered by the Indirect Cost Rate Agreement: From:</t>
  </si>
  <si>
    <t>To</t>
  </si>
  <si>
    <t>(mm/dd/yyyy)</t>
  </si>
  <si>
    <t>(1)</t>
  </si>
  <si>
    <t>(3)</t>
  </si>
  <si>
    <t>12.</t>
  </si>
  <si>
    <t>5.</t>
  </si>
  <si>
    <t>6.</t>
  </si>
  <si>
    <t>7.</t>
  </si>
  <si>
    <t>8.</t>
  </si>
  <si>
    <t>9.</t>
  </si>
  <si>
    <t>10.</t>
  </si>
  <si>
    <t>11.</t>
  </si>
  <si>
    <t xml:space="preserve">Approving Federal agency:  </t>
  </si>
  <si>
    <t xml:space="preserve"> Is included in your approved Indirect Cost Rate Agreement?  or  </t>
  </si>
  <si>
    <t xml:space="preserve">ED     </t>
  </si>
  <si>
    <t>Do you have an Indirect Cost Rate Agreement approved by the Federal government?</t>
  </si>
  <si>
    <t>Personnel</t>
  </si>
  <si>
    <t>Equipment</t>
  </si>
  <si>
    <t>Supplies</t>
  </si>
  <si>
    <t>Contractual</t>
  </si>
  <si>
    <t>Construction</t>
  </si>
  <si>
    <t>Total Direct Costs (lines 1-8)</t>
  </si>
  <si>
    <t>Indirect Costs*</t>
  </si>
  <si>
    <t>Training Stipends</t>
  </si>
  <si>
    <t>Total Costs (lines 9-11)</t>
  </si>
  <si>
    <t xml:space="preserve">Complies with 34 CFR 76.564(c)(2)? </t>
  </si>
  <si>
    <t>The Indirect Cost Rate is:</t>
  </si>
  <si>
    <r>
      <t>Other</t>
    </r>
    <r>
      <rPr>
        <sz val="8"/>
        <rFont val="Times New Roman"/>
        <family val="1"/>
      </rPr>
      <t xml:space="preserve"> (please specify)</t>
    </r>
    <r>
      <rPr>
        <sz val="9"/>
        <rFont val="Times New Roman"/>
        <family val="1"/>
      </rPr>
      <t>:</t>
    </r>
  </si>
  <si>
    <t>No</t>
  </si>
  <si>
    <t>For Restricted Rate Programs (check one) -- Are you using a restricted indirect cost rate that:</t>
  </si>
  <si>
    <t>X</t>
  </si>
  <si>
    <t xml:space="preserve"> Restricted Indirect Cost Rate?</t>
  </si>
  <si>
    <t>DHHS</t>
  </si>
  <si>
    <t>Year 1 Bi-Monthly</t>
  </si>
  <si>
    <t>Added 524 sheet.</t>
  </si>
  <si>
    <t>Added 424a sheet.</t>
  </si>
  <si>
    <t>Updated Fringe Rates and tuition amounts.</t>
  </si>
  <si>
    <t>Added Year 1 Bi-Monthly compensation amount for all senior personnel in the File Copy Budget sheet.</t>
  </si>
  <si>
    <t>Salary escalation for the out years has a preset default of 3%.  Changes in the out year salaries that are not consistent with the preset escalation can be manually edited on the appropriate out year budget pages.</t>
  </si>
  <si>
    <r>
      <t>4.</t>
    </r>
    <r>
      <rPr>
        <sz val="7"/>
        <rFont val="Times New Roman"/>
        <family val="1"/>
      </rPr>
      <t> </t>
    </r>
  </si>
  <si>
    <t>Rental/Lease of Non-SU Off-site Facilities</t>
  </si>
  <si>
    <t>c)  Rental/Lease of Non-SU Off-site Fac</t>
  </si>
  <si>
    <t>Expiration Date:  04/30/2014</t>
  </si>
  <si>
    <t>Updated 524 Sheet</t>
  </si>
  <si>
    <t>Fixed Total Other Senior Personnel to calculate correctly.</t>
  </si>
  <si>
    <t>Updated Fringe Benefits for FY15.</t>
  </si>
  <si>
    <t>FB</t>
  </si>
  <si>
    <t>SRCAL</t>
  </si>
  <si>
    <t>OTFUL</t>
  </si>
  <si>
    <t>OTTMP</t>
  </si>
  <si>
    <t>OTADJ</t>
  </si>
  <si>
    <t>OTUGR</t>
  </si>
  <si>
    <t>OTPDR</t>
  </si>
  <si>
    <t>OTESO</t>
  </si>
  <si>
    <t>Extra Service &amp; Overload</t>
  </si>
  <si>
    <t>Adjunct Faculty</t>
  </si>
  <si>
    <t>PUBLI</t>
  </si>
  <si>
    <t>PURCH</t>
  </si>
  <si>
    <t>TUITIO</t>
  </si>
  <si>
    <t>TUITRM</t>
  </si>
  <si>
    <t>e)  Tuition - Scholarship</t>
  </si>
  <si>
    <t>SUBJCT</t>
  </si>
  <si>
    <t>f)   Human Subject</t>
  </si>
  <si>
    <t>Tuition - Remitted</t>
  </si>
  <si>
    <t>Tuition - Scholarship</t>
  </si>
  <si>
    <t>Human Subject</t>
  </si>
  <si>
    <t>Adjunct</t>
  </si>
  <si>
    <t>d)  Remitted Tuition Req of Agency</t>
  </si>
  <si>
    <t>Modular Budget Guidance:</t>
  </si>
  <si>
    <t>Annual Rounded Consortium Costs</t>
  </si>
  <si>
    <t>C. Total Direct and Indirect Costs (A+B)</t>
  </si>
  <si>
    <t>Funds Requested ($)</t>
  </si>
  <si>
    <t>* Funds Requested ($)</t>
  </si>
  <si>
    <t>Indirect Cost Base ($)</t>
  </si>
  <si>
    <t>Indirect Cost Rate (%)</t>
  </si>
  <si>
    <t>Indirect Cost Type</t>
  </si>
  <si>
    <t>B. Indirect Costs</t>
  </si>
  <si>
    <t>Total Direct Costs</t>
  </si>
  <si>
    <t>Consortium F&amp;A</t>
  </si>
  <si>
    <t>* Direct Cost less Consortium F&amp;A</t>
  </si>
  <si>
    <t>A. Direct Costs</t>
  </si>
  <si>
    <t>Suggested Modules To Request</t>
  </si>
  <si>
    <t>PHS 398 Modular Budget</t>
  </si>
  <si>
    <t>NIH Modular Budget (Salary Cap)</t>
  </si>
  <si>
    <t>NIH Salary Cap</t>
  </si>
  <si>
    <t>Direct</t>
  </si>
  <si>
    <t>Indirect</t>
  </si>
  <si>
    <t>NIH Grad Limit</t>
  </si>
  <si>
    <t>Grad</t>
  </si>
  <si>
    <t>Investigators</t>
  </si>
  <si>
    <t>Warnings:</t>
  </si>
  <si>
    <t>PTTRAV</t>
  </si>
  <si>
    <t>Other (Temp, wages)</t>
  </si>
  <si>
    <t>Federal - Other</t>
  </si>
  <si>
    <t>Federal - NIH</t>
  </si>
  <si>
    <t>Check NIH Grad Comp</t>
  </si>
  <si>
    <t>cond</t>
  </si>
  <si>
    <t>data valid</t>
  </si>
  <si>
    <t>Base salary should remain under $181,500 for calandar appointments and $128,562 for academic appointments.</t>
  </si>
  <si>
    <t>xxxxx</t>
  </si>
  <si>
    <t>OSA Fields</t>
  </si>
  <si>
    <t>MTDC-Fed</t>
  </si>
  <si>
    <t>MTDC-NonFed</t>
  </si>
  <si>
    <t>Number of Participants</t>
  </si>
  <si>
    <t>$250,000 per year, or when NIH FOA indicates that the modular format should be used.</t>
  </si>
  <si>
    <r>
      <t xml:space="preserve">1.   </t>
    </r>
    <r>
      <rPr>
        <sz val="10"/>
        <color theme="3"/>
        <rFont val="Arial"/>
        <family val="2"/>
      </rPr>
      <t>NIH modular budgets are applicable when Total Direct Costs, excluding subaward F&amp;A, are equal to or less than</t>
    </r>
  </si>
  <si>
    <t>NIH modular budget guidance.</t>
  </si>
  <si>
    <t>actual detail budget.</t>
  </si>
  <si>
    <t>use the ‘NIH Mod-Even Dist’, as it will evenly distribute modules.</t>
  </si>
  <si>
    <r>
      <rPr>
        <b/>
        <sz val="10"/>
        <color theme="3"/>
        <rFont val="Arial"/>
        <family val="2"/>
      </rPr>
      <t>2.</t>
    </r>
    <r>
      <rPr>
        <sz val="10"/>
        <color theme="3"/>
        <rFont val="Arial"/>
        <family val="2"/>
      </rPr>
      <t xml:space="preserve">   Ordinarily all years of a modular budget will have the same number of modules. In these cases,</t>
    </r>
  </si>
  <si>
    <r>
      <t xml:space="preserve">3.   </t>
    </r>
    <r>
      <rPr>
        <sz val="10"/>
        <color theme="3"/>
        <rFont val="Arial"/>
        <family val="2"/>
      </rPr>
      <t>In some instances, one year might have an additional module for specific reasons, such as accommodating</t>
    </r>
  </si>
  <si>
    <t>equipment requests or R21 proposals. In these cases, use the ‘NIH Mod-Free’ tab, as it will allow for uneven</t>
  </si>
  <si>
    <t>module distribution. Uneven modules must be explained in the ‘Additional Narrative Justification’ field of the</t>
  </si>
  <si>
    <t>NIH Grants.gov application package.</t>
  </si>
  <si>
    <r>
      <rPr>
        <b/>
        <sz val="10"/>
        <color theme="3"/>
        <rFont val="Arial"/>
        <family val="2"/>
      </rPr>
      <t>4.</t>
    </r>
    <r>
      <rPr>
        <sz val="10"/>
        <color theme="3"/>
        <rFont val="Arial"/>
        <family val="2"/>
      </rPr>
      <t xml:space="preserve">   The modular budget template automatically rounds to the nearest $25,000 module (up or down), in accordance with the</t>
    </r>
  </si>
  <si>
    <r>
      <rPr>
        <b/>
        <sz val="10"/>
        <color theme="3"/>
        <rFont val="Arial"/>
        <family val="2"/>
      </rPr>
      <t xml:space="preserve">5. </t>
    </r>
    <r>
      <rPr>
        <sz val="10"/>
        <color theme="3"/>
        <rFont val="Arial"/>
        <family val="2"/>
      </rPr>
      <t xml:space="preserve">  Please note that the OSP File Copy Budget and the Modular Budget might represent different totals, as the modular</t>
    </r>
  </si>
  <si>
    <r>
      <rPr>
        <b/>
        <sz val="10"/>
        <color theme="3"/>
        <rFont val="Arial"/>
        <family val="2"/>
      </rPr>
      <t>6.</t>
    </r>
    <r>
      <rPr>
        <sz val="10"/>
        <color theme="3"/>
        <rFont val="Arial"/>
        <family val="2"/>
      </rPr>
      <t xml:space="preserve">   If applicable, Annual Rounded Consortium Costs (Direct &amp; Indirect) to be included in the Consortium Justification.</t>
    </r>
  </si>
  <si>
    <t>budget tab is rounding to the nearest $25,000 module, while the OSP file copy budget is representing the</t>
  </si>
  <si>
    <t>Complete all of Section "A.", including "Start Date", "Project Duration" and "Sponsor Type".  For preparing NIH budgets, you must select "Federal - NIH" in the drop down list under "Sponsor Type". This will enable warnings that activate when NIH caps are exceeded.</t>
  </si>
  <si>
    <t xml:space="preserve">Complete the red highlighted cells on “Personnel Yr 1” Tab (Mandatory Fields).   Insert the annual salary for each person and then enter the months effort requested. The salary requested and fringe benefits will calculate automatically.  </t>
  </si>
  <si>
    <t xml:space="preserve">For Graduate Assistants, the Sponsor types available for fringe benefit calculation in Cell H23 are "Federal-Other", "Federal-NIH" or "Fnd/Prof Soc".  The default is "Federal-Other"; and selecting "Federal-NIH" will introduce warnings unique to NIH regarding GA salary compensation caps. The number of students must be entered in Cell B23.  </t>
  </si>
  <si>
    <t>Subcontracts must be entered accordingly in section entitled "Subawards/Consortiums/Contractual Costs,” located on Rows #70 through #88.</t>
  </si>
  <si>
    <t>The "F&amp;A Type" field located in cells B57 through B61 are set with a default of "MTDC - Fed".  This setting applies to all federal sponsors and removes the "Participant Support Costs" from the MTDC base in accordance with federal regulations.  Should the circumstances permit, one of the other "F&amp;A Type" selections may be used, depending on non-federal sponsor guidance for calculation.</t>
  </si>
  <si>
    <t>Facilities and Administrative (F&amp;A) Cost contains a drop down box with selections for Syracuse University’s currently negotiated F&amp;A rates with Department of Health and Human Services.  The default setting is for the current "Research - On Campus" rate.</t>
  </si>
  <si>
    <t>If the project contains a reduced F&amp;A cost (either limited by the sponsor, or other approved reduction), the rates must be manually edited.  To edit, select cell C57, type in numberical F&amp;A value (e.g. 20%).  When prompted, "This is not one of the Approved Rates. Continue?"  Select "Yes".  Continue to change value in Cells C58 through C61, as necessary.</t>
  </si>
  <si>
    <r>
      <t>5.</t>
    </r>
    <r>
      <rPr>
        <sz val="7"/>
        <rFont val="Times New Roman"/>
        <family val="1"/>
      </rPr>
      <t> </t>
    </r>
  </si>
  <si>
    <t>To print the Additional Personnel sections, switch to View-&gt;Page Break View and drag the thick blue line on the bottom of the lit area (row 201) to the bottom of the form (row 375).</t>
  </si>
  <si>
    <t>Other Budget Formats:</t>
  </si>
  <si>
    <t>1. </t>
  </si>
  <si>
    <t>For your added convenience, we provide popular federal budget formats, namely the "NIH Modular Budget"**, the "ED 524", and the "SF-424", to further assist your budget proposal development.</t>
  </si>
  <si>
    <t>** Two versions of the NIH Modular Budget are offered, the first "NIH - EVEN" is for even distribution of modules per year, and the second "NIH - FREE" is for use with uneven distribution of Modules per year.</t>
  </si>
  <si>
    <t>Please Note: NSF limits senior personnel salary requests for all proposals to two months</t>
  </si>
  <si>
    <t>Updated NIH Salary Cap and GA comp cap</t>
  </si>
  <si>
    <t>Changed wording in regards to NSF summer salary.</t>
  </si>
  <si>
    <t>File Copy tab, cell H79 referencing the wrong cell.</t>
  </si>
  <si>
    <t>Updated Fringe rates for FY16</t>
  </si>
  <si>
    <t>Fixed F&amp;A calculation for TDC.</t>
  </si>
  <si>
    <t>Fixed error checking for NIH Salary Cap.</t>
  </si>
  <si>
    <t>New F&amp;A rates</t>
  </si>
  <si>
    <t>Instruction - On Campus - 34.00%</t>
  </si>
  <si>
    <t>Other - On Campus - 35.00%</t>
  </si>
  <si>
    <t>F&amp;A incorrectly calculating.  Changed second lookup table.</t>
  </si>
  <si>
    <t>Base salary should remain under $185,100 for calandar appointments and $131,112 for academic appointments.</t>
  </si>
  <si>
    <t xml:space="preserve">Updated the NIH salary cap numbers. </t>
  </si>
  <si>
    <t>Updated Fringe Benefits for FY17</t>
  </si>
  <si>
    <t>Updated Grad pay ceiling to $43,362 for NIH.</t>
  </si>
  <si>
    <t>Updated Fringe Benefits for FY18</t>
  </si>
  <si>
    <t>Updated the NIH Salary Caps</t>
  </si>
  <si>
    <t>Updated the warning messages for the NIH Salary Cap</t>
  </si>
  <si>
    <t>Update Fringe Benefits for FY19</t>
  </si>
  <si>
    <t>Update to the NIH Salary cap</t>
  </si>
  <si>
    <t>Domestic Travel Costs(Incl. U.S. Possessions)</t>
  </si>
  <si>
    <t>Removed Canada and Mexico from domestic travel description.</t>
  </si>
  <si>
    <t>Updated Fringe Rate to FY 2020 rates</t>
  </si>
  <si>
    <t>Updated NIH Grad amount and fringe benefits for FY 2020</t>
  </si>
  <si>
    <t>Updated NIH Grad amount</t>
  </si>
  <si>
    <t>Updated NIH Salary Cap</t>
  </si>
  <si>
    <t>Updated to FY21 FB and IDC rates.</t>
  </si>
  <si>
    <t>File Copy page: updated e121-h121. sum was missing a row.</t>
  </si>
  <si>
    <t>Updated tuition with fy20.  still waiting on fy21.</t>
  </si>
  <si>
    <t>Updated grad tuition to FY21.  Looks to be the same as fy20, $1683/credit.</t>
  </si>
  <si>
    <t>Updated NIH Salary and Grad Caps</t>
  </si>
  <si>
    <t>Update to FB rates for FY22</t>
  </si>
  <si>
    <t>Updated NIH Salary cap.</t>
  </si>
  <si>
    <t>Research - On Campus - 49.50%</t>
  </si>
  <si>
    <t>Updated FB and IDC rates for FY23.</t>
  </si>
  <si>
    <t>Addressed need for multi-year IDC rates (already there, just had to reimplement).</t>
  </si>
  <si>
    <t>FY24 - $1,802</t>
  </si>
  <si>
    <t>Update to FB rates for FY 24.</t>
  </si>
  <si>
    <t>Udate to NIH Salary Cap.</t>
  </si>
  <si>
    <t>Directions for Completing the OSP Campus R&amp;R Budget Template - FY 24</t>
  </si>
  <si>
    <t>Updated F&amp;A for Year 2 on Non-personnel page to 49.5%.</t>
  </si>
  <si>
    <t>B. Other Personnel Detail</t>
  </si>
  <si>
    <t>Fix year 2 idc display on file copy tabs.</t>
  </si>
  <si>
    <t>Other Personnel Roles</t>
  </si>
  <si>
    <t>Senior Research Associate</t>
  </si>
  <si>
    <t>Research Associate - Full Time</t>
  </si>
  <si>
    <t>RAFULL</t>
  </si>
  <si>
    <t>RAHRLY</t>
  </si>
  <si>
    <t>Designation</t>
  </si>
  <si>
    <t>SRRA</t>
  </si>
  <si>
    <t>SRFULL</t>
  </si>
  <si>
    <t>SRHLY</t>
  </si>
  <si>
    <t>Senior Personnel Designation</t>
  </si>
  <si>
    <t>Secretarial/Clerical</t>
  </si>
  <si>
    <t>Postdoctoral Associates</t>
  </si>
  <si>
    <t>Funds Reqd.</t>
  </si>
  <si>
    <t>Other Personnel Detail</t>
  </si>
  <si>
    <t>Last Updated: 5/15/2023</t>
  </si>
  <si>
    <t>Rebuild of how fringe is calculated.</t>
  </si>
  <si>
    <t>Added "Designation" field in senior personnel to help drive fringe rates.</t>
  </si>
  <si>
    <t>Added ability to enter detail for "Other Personnel"</t>
  </si>
  <si>
    <t>Research Associate - Hourly</t>
  </si>
  <si>
    <t>Other Personnel</t>
  </si>
  <si>
    <t xml:space="preserve">Ph.D. </t>
  </si>
  <si>
    <t>Part Time, per course taught- No benefits</t>
  </si>
  <si>
    <t>N/A</t>
  </si>
  <si>
    <t>Part Time, Hourly- No benefits</t>
  </si>
  <si>
    <t>Non- Ph.D.</t>
  </si>
  <si>
    <t>Other (hourly)</t>
  </si>
  <si>
    <t>Full Time, Benefits Eligible</t>
  </si>
  <si>
    <t>Full Time (0.5 FTE), Graduate Benefits</t>
  </si>
  <si>
    <t>Senior or Other Personnel</t>
  </si>
  <si>
    <t>Academic Degree</t>
  </si>
  <si>
    <t>Full or PT</t>
  </si>
  <si>
    <t>Title</t>
  </si>
  <si>
    <t>Table 2. - Other Personnel</t>
  </si>
  <si>
    <t>Senior Personnel</t>
  </si>
  <si>
    <t>Part Time, Hourly- no benefits</t>
  </si>
  <si>
    <t>Table 1. - Senior Personnel</t>
  </si>
  <si>
    <t>When entering Senior Personnel in Section A, select the appropriate "Project Role" and "Designation" based on the employment status for each person. This will drive the correct fringe rate, and will also map the expense codes to the SAMtool for better alignment of the budget and expense reporting. See Table 1. below for Senior Personnel Project Role titles and descriptions.</t>
  </si>
  <si>
    <t>PROFCAL</t>
  </si>
  <si>
    <t>TOTAL TENURE/TRACK SUMMER</t>
  </si>
  <si>
    <t>TOTAL TENURE/TRACK ACADEMIC</t>
  </si>
  <si>
    <t>TOTAL TENURE/TRACK CALENDAR</t>
  </si>
  <si>
    <t>Graduate Assistant</t>
  </si>
  <si>
    <t>Postdoctoral Associate</t>
  </si>
  <si>
    <t>Tenure/Tenure Track Faculty Calendar</t>
  </si>
  <si>
    <t>PROFSM, PROFAY (depending on Summer or AY effort)</t>
  </si>
  <si>
    <t>5/13/2023 - 6/9/2023</t>
  </si>
  <si>
    <t>Fixed issues with secretarial line and research associate - hourly lines not calculationg properly.</t>
  </si>
  <si>
    <t>Protection of Year 1.</t>
  </si>
  <si>
    <t>Tenure/Track Faculty - Acad/Sum</t>
  </si>
  <si>
    <t>Tenure/Track Faculty - Calendar</t>
  </si>
  <si>
    <r>
      <t xml:space="preserve">Enter detail in </t>
    </r>
    <r>
      <rPr>
        <b/>
        <sz val="10"/>
        <rFont val="Arial"/>
        <family val="2"/>
      </rPr>
      <t xml:space="preserve">B. Other Personnel Detail </t>
    </r>
    <r>
      <rPr>
        <sz val="10"/>
        <rFont val="Arial"/>
        <family val="2"/>
      </rPr>
      <t>section. Totals will sum up in each category.  Effort months for informational purposes only.</t>
    </r>
  </si>
  <si>
    <t>Graduate Assistants</t>
  </si>
  <si>
    <t>Fixed years 3-5 in file copy and no salary tabs. They were not printing the other personnel sections correctly.</t>
  </si>
  <si>
    <t>Split tenure/tenure track designation into Calendar and Academic/Summer.</t>
  </si>
  <si>
    <t>Total direct costs in the Non-personnel page were calculating incorrectly for years 4 and 5.</t>
  </si>
  <si>
    <t>Secretarial line not calculating correctly.</t>
  </si>
  <si>
    <t>Hourly Students (Grad/Undergrad)</t>
  </si>
  <si>
    <t>Other Professional Staff</t>
  </si>
  <si>
    <t>(Subject to OSP Approval)</t>
  </si>
  <si>
    <t>Full or Part Time, Benefits Eligible</t>
  </si>
  <si>
    <r>
      <t xml:space="preserve">Senior Research Associate </t>
    </r>
    <r>
      <rPr>
        <b/>
        <sz val="10"/>
        <color rgb="FF000000"/>
        <rFont val="Arial"/>
        <family val="2"/>
      </rPr>
      <t>(Staff)</t>
    </r>
  </si>
  <si>
    <t>Examples</t>
  </si>
  <si>
    <t>Deans/Chairs/VPs with 12 month appointments</t>
  </si>
  <si>
    <t>Faculty with 8.5 month appointments</t>
  </si>
  <si>
    <t>Emeritus faculty conducting research paid hourly</t>
  </si>
  <si>
    <t>Graduate Assistantship with Grad School benefits</t>
  </si>
  <si>
    <t>Administrative support (Subject to OSP approval)</t>
  </si>
  <si>
    <t>Traditional Postdoc appointment</t>
  </si>
  <si>
    <t>Undergraduate and Graduate students paid hourly</t>
  </si>
  <si>
    <t>Program support staff (lab technician, project coordinator, lab manager, statistician, etc.)</t>
  </si>
  <si>
    <t>Temporary employeee paid hourly</t>
  </si>
  <si>
    <t>Work performed by faculty or staff above and beyond institutional appointment (Subject to OSP approval)</t>
  </si>
  <si>
    <t>Faculty paid on a course taught basis</t>
  </si>
  <si>
    <t>Associated OSA Code</t>
  </si>
  <si>
    <t>Research faculty, Professors of Practice, Teaching faculty (w/ approved PI waiver) with 8.5 month appointments</t>
  </si>
  <si>
    <t>Ph.D. qualified staff with 12 month appointments</t>
  </si>
  <si>
    <t>Qualified Staff         Non-Ph.D.</t>
  </si>
  <si>
    <t>Ph.D. qualified staff paid hourly</t>
  </si>
  <si>
    <t xml:space="preserve">Non-Ph.D. qualified staff with 12 month appointments (directors or higher designation required for PI or Co-PI role or PI waiver) </t>
  </si>
  <si>
    <t xml:space="preserve">Tenure/Tenure Track Faculty Academic/ Summer </t>
  </si>
  <si>
    <t>Non-Tenure Track Faculty - Full Time</t>
  </si>
  <si>
    <t>Non-Tenure Track Faculty - Hourly</t>
  </si>
  <si>
    <t>Project Budget Category</t>
  </si>
  <si>
    <t>Node</t>
  </si>
  <si>
    <t>Account</t>
  </si>
  <si>
    <t>Account Description</t>
  </si>
  <si>
    <t>Faculty</t>
  </si>
  <si>
    <t>Academic Administrator-Faculty</t>
  </si>
  <si>
    <t>Faculty - Summer</t>
  </si>
  <si>
    <t>Exec Administrator-NonFaculty</t>
  </si>
  <si>
    <t>Research Faculty FT</t>
  </si>
  <si>
    <t>Research Faculty PT</t>
  </si>
  <si>
    <t>Casual Graduate Assistants</t>
  </si>
  <si>
    <t>Graduate Assistants-NonExempt</t>
  </si>
  <si>
    <t>Grad Assistant - Summer</t>
  </si>
  <si>
    <t>GA - Summer-FICA Taxable</t>
  </si>
  <si>
    <t>PT Faculty-Union Std Benefits</t>
  </si>
  <si>
    <t>PT Faculty-Union Mod Benefits</t>
  </si>
  <si>
    <t>Overtime</t>
  </si>
  <si>
    <t>Extra Service / Overload</t>
  </si>
  <si>
    <t>Exempt Staff</t>
  </si>
  <si>
    <t>NonExempt Staff</t>
  </si>
  <si>
    <t>NonExempt Staff - Union</t>
  </si>
  <si>
    <t>Post Doctoral Scholar</t>
  </si>
  <si>
    <t>NonExempt Staff - Union-Summer</t>
  </si>
  <si>
    <t>Casual / Temporary</t>
  </si>
  <si>
    <t>Casual / Temporary NonExempt</t>
  </si>
  <si>
    <t>Students - Non-FWS</t>
  </si>
  <si>
    <t>Students - Non-FWS-FICA Taxable</t>
  </si>
  <si>
    <t>Students - FWS 100%</t>
  </si>
  <si>
    <t>Students - FWS 100%-FICA Taxable</t>
  </si>
  <si>
    <t>Students - FWS 60%/40%</t>
  </si>
  <si>
    <t>Students - FWS 60%/40%-FICA Taxable</t>
  </si>
  <si>
    <t>Research Associate FT</t>
  </si>
  <si>
    <t>Research Associate PT</t>
  </si>
  <si>
    <t>Table 3. - Payroll Account Codes</t>
  </si>
  <si>
    <t>When entering Other Personnel in Section B, enter the information per individual employee into "B. Other Personnel Detail" table. For each individual select the appropriate "Project Role" from the dropdown list. This will ensure that the appropriate fringe rate calculation is used. The summary view of Other Personnel will be displayed directly above the Other Personnel Detail table. See Table 2. below for Other Personnel Project Role titles and descriptions. See Table 3. below for the listing of available Payroll Account Codes that correspond with the Project Roles.</t>
  </si>
  <si>
    <t>Senior Research Associate (Staff)</t>
  </si>
  <si>
    <t>Qualified Staff Non-Ph.D.</t>
  </si>
  <si>
    <t>TOTAL NON-TEN TRACK FACULTY - HOURLY</t>
  </si>
  <si>
    <t>TOTAL NON-TEN TRACK FACULTY - FULL TIME</t>
  </si>
  <si>
    <t>TOTAL SR RESEARCH ASSOCIATE (STAFF)</t>
  </si>
  <si>
    <t>TOTAL QUALIFIED STAFF NON-PH.D.</t>
  </si>
  <si>
    <t>1)  Postdoctorate</t>
  </si>
  <si>
    <t>2)  Research Associate - Full Time</t>
  </si>
  <si>
    <t>3)  Research Associate - Hourly</t>
  </si>
  <si>
    <t>4)  Other Professional Staff</t>
  </si>
  <si>
    <t xml:space="preserve">   5)  Graduate Assistant(s)</t>
  </si>
  <si>
    <t>6)  Hourly Students (Grad/Undergrad)</t>
  </si>
  <si>
    <t xml:space="preserve">   7)  Secretarial/Clerical</t>
  </si>
  <si>
    <t>9)  Extra Service &amp; Overload</t>
  </si>
  <si>
    <t>8)  Other (hourly)</t>
  </si>
  <si>
    <t xml:space="preserve"> 10)  Adjunct Faculty</t>
  </si>
  <si>
    <t>Research Associate - Hourly, Hourly Students (Grad/Undergrad), Other (Temp, wages), Extra Service &amp; Overload, Non-Tenure Track Faculty - Hourly</t>
  </si>
  <si>
    <t>Postdoctoral Associates, Research Associate - Full Time, Other Professional Staff, Secretarial/Clerical, Tenure/Track Faculty - Acad/Sum, Tenure/Track Faculty - Calendar, Senior Research Associate (Staff), Non-Tenure Track Faculty - Full Time, Qualified Staff Non-Ph.D.</t>
  </si>
  <si>
    <t>Updates to titles in table 1 of the instructions tab.</t>
  </si>
  <si>
    <t>Changed the drop boxes for personnel years 1-5.</t>
  </si>
  <si>
    <t>Changed the order total rows for the senior personnel section to match the order of the drop choices in the personnel tabs.  Also updated the names of the total fields to match the drop boxes. Finally, updated the calculations for these fields to match the new names in the drop boxes.</t>
  </si>
  <si>
    <t>Fixed issue with fringe not showing in the correct fields in File Copy tabs.</t>
  </si>
  <si>
    <t>Added Secretarial/Clerical back into the drop choices for "Other Personnel"</t>
  </si>
  <si>
    <t>File Copy tab - Other personnel total was calculating incorrectly</t>
  </si>
  <si>
    <t xml:space="preserve">Year 1 and 2 tabs - Other Personnel - fringe benefits and funds requested columns had bad references on line 1 causing errors. </t>
  </si>
  <si>
    <t>Year 1 tab - Other personnel - Funds Requested column for rows 67-72 were missing calculations. Added.</t>
  </si>
  <si>
    <t>File Copy and File Copy-No Salary tabs - fixed problem with year five and Other personnel fringe.</t>
  </si>
  <si>
    <t>FY24 - $1,872</t>
  </si>
  <si>
    <t>3/21/20224</t>
  </si>
  <si>
    <t>Update to the grad remitted tuition</t>
  </si>
  <si>
    <t>Senior/Key Personnel</t>
  </si>
  <si>
    <t>Updated senior personnel roles. Fellow changed to Senior/Key Personnel.</t>
  </si>
  <si>
    <t>Updated fringe and f&amp;a</t>
  </si>
  <si>
    <t>Directions for Completing the OSP Campus R&amp;R Budget Template - FY 26</t>
  </si>
  <si>
    <t>Last Updated: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</si>
</sst>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quot;$&quot;#,##0"/>
  </numFmts>
  <fonts count="46" x14ac:knownFonts="1">
    <font>
      <sz val="10"/>
      <name val="Arial"/>
    </font>
    <font>
      <sz val="10"/>
      <name val="Arial"/>
      <family val="2"/>
    </font>
    <font>
      <b/>
      <sz val="14"/>
      <name val="Arial"/>
      <family val="2"/>
    </font>
    <font>
      <sz val="10"/>
      <name val="Arial"/>
      <family val="2"/>
    </font>
    <font>
      <b/>
      <sz val="10"/>
      <name val="Arial"/>
      <family val="2"/>
    </font>
    <font>
      <sz val="8"/>
      <name val="Arial"/>
      <family val="2"/>
    </font>
    <font>
      <sz val="10"/>
      <color indexed="8"/>
      <name val="Arial"/>
      <family val="2"/>
    </font>
    <font>
      <sz val="10"/>
      <color indexed="8"/>
      <name val="Arial"/>
      <family val="2"/>
    </font>
    <font>
      <b/>
      <sz val="12"/>
      <name val="Times New Roman"/>
      <family val="1"/>
    </font>
    <font>
      <b/>
      <i/>
      <sz val="12"/>
      <name val="Arial"/>
      <family val="2"/>
    </font>
    <font>
      <b/>
      <i/>
      <sz val="11"/>
      <name val="Arial"/>
      <family val="2"/>
    </font>
    <font>
      <b/>
      <i/>
      <sz val="10"/>
      <name val="Arial"/>
      <family val="2"/>
    </font>
    <font>
      <b/>
      <sz val="10"/>
      <name val="Arial"/>
      <family val="2"/>
    </font>
    <font>
      <i/>
      <sz val="10"/>
      <name val="Arial"/>
      <family val="2"/>
    </font>
    <font>
      <b/>
      <sz val="9"/>
      <name val="Arial"/>
      <family val="2"/>
    </font>
    <font>
      <b/>
      <sz val="11"/>
      <name val="Arial"/>
      <family val="2"/>
    </font>
    <font>
      <sz val="11"/>
      <name val="Arial"/>
      <family val="2"/>
    </font>
    <font>
      <i/>
      <sz val="10"/>
      <name val="Arial"/>
      <family val="2"/>
    </font>
    <font>
      <b/>
      <sz val="12"/>
      <name val="Arial"/>
      <family val="2"/>
    </font>
    <font>
      <b/>
      <u/>
      <sz val="11"/>
      <name val="Arial"/>
      <family val="2"/>
    </font>
    <font>
      <sz val="7"/>
      <name val="Times New Roman"/>
      <family val="1"/>
    </font>
    <font>
      <sz val="16"/>
      <name val="Arial"/>
      <family val="2"/>
    </font>
    <font>
      <b/>
      <sz val="11"/>
      <name val="Arial"/>
      <family val="2"/>
    </font>
    <font>
      <sz val="10"/>
      <name val="Times New Roman"/>
      <family val="1"/>
    </font>
    <font>
      <b/>
      <sz val="10"/>
      <name val="Times New Roman"/>
      <family val="1"/>
    </font>
    <font>
      <b/>
      <sz val="11"/>
      <name val="Times New Roman"/>
      <family val="1"/>
    </font>
    <font>
      <b/>
      <i/>
      <sz val="10"/>
      <name val="Times New Roman"/>
      <family val="1"/>
    </font>
    <font>
      <sz val="9"/>
      <name val="Times New Roman"/>
      <family val="1"/>
    </font>
    <font>
      <sz val="8"/>
      <name val="Times New Roman"/>
      <family val="1"/>
    </font>
    <font>
      <sz val="10"/>
      <color theme="3"/>
      <name val="Arial"/>
      <family val="2"/>
    </font>
    <font>
      <b/>
      <sz val="10"/>
      <color theme="3"/>
      <name val="Arial"/>
      <family val="2"/>
    </font>
    <font>
      <b/>
      <i/>
      <sz val="10"/>
      <color theme="3"/>
      <name val="Arial"/>
      <family val="2"/>
    </font>
    <font>
      <b/>
      <sz val="14"/>
      <color indexed="8"/>
      <name val="Arial"/>
      <family val="1"/>
      <charset val="204"/>
    </font>
    <font>
      <sz val="8"/>
      <color indexed="8"/>
      <name val="Arial"/>
      <family val="1"/>
      <charset val="204"/>
    </font>
    <font>
      <b/>
      <sz val="10"/>
      <color theme="0"/>
      <name val="Arial"/>
      <family val="2"/>
    </font>
    <font>
      <sz val="10"/>
      <color theme="0"/>
      <name val="Arial"/>
      <family val="2"/>
    </font>
    <font>
      <b/>
      <u/>
      <sz val="12"/>
      <name val="Arial"/>
      <family val="2"/>
    </font>
    <font>
      <b/>
      <sz val="10"/>
      <color rgb="FFFF0000"/>
      <name val="Arial"/>
      <family val="2"/>
    </font>
    <font>
      <sz val="10"/>
      <color theme="1"/>
      <name val="Arial"/>
      <family val="2"/>
    </font>
    <font>
      <sz val="10"/>
      <color rgb="FFFF0000"/>
      <name val="Arial"/>
      <family val="2"/>
    </font>
    <font>
      <u/>
      <sz val="10"/>
      <color theme="10"/>
      <name val="Arial"/>
      <family val="2"/>
    </font>
    <font>
      <sz val="10"/>
      <color rgb="FF0070C0"/>
      <name val="Arial"/>
      <family val="2"/>
    </font>
    <font>
      <sz val="10"/>
      <color theme="0" tint="-0.249977111117893"/>
      <name val="Arial"/>
      <family val="2"/>
    </font>
    <font>
      <sz val="10"/>
      <color rgb="FF000000"/>
      <name val="Arial"/>
      <family val="2"/>
    </font>
    <font>
      <b/>
      <u/>
      <sz val="10"/>
      <color rgb="FF000000"/>
      <name val="Arial"/>
      <family val="2"/>
    </font>
    <font>
      <b/>
      <sz val="10"/>
      <color rgb="FF000000"/>
      <name val="Arial"/>
      <family val="2"/>
    </font>
  </fonts>
  <fills count="20">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9"/>
        <bgColor indexed="9"/>
      </patternFill>
    </fill>
    <fill>
      <patternFill patternType="solid">
        <fgColor indexed="44"/>
        <bgColor indexed="64"/>
      </patternFill>
    </fill>
    <fill>
      <patternFill patternType="solid">
        <fgColor indexed="38"/>
        <bgColor indexed="64"/>
      </patternFill>
    </fill>
    <fill>
      <patternFill patternType="solid">
        <fgColor indexed="15"/>
        <bgColor indexed="64"/>
      </patternFill>
    </fill>
    <fill>
      <patternFill patternType="solid">
        <fgColor indexed="13"/>
        <bgColor indexed="64"/>
      </patternFill>
    </fill>
    <fill>
      <patternFill patternType="solid">
        <fgColor indexed="10"/>
        <bgColor indexed="64"/>
      </patternFill>
    </fill>
    <fill>
      <patternFill patternType="solid">
        <fgColor indexed="22"/>
        <bgColor indexed="9"/>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
      <patternFill patternType="solid">
        <fgColor indexed="22"/>
        <bgColor auto="1"/>
      </patternFill>
    </fill>
    <fill>
      <patternFill patternType="solid">
        <fgColor theme="0" tint="-0.14999847407452621"/>
        <bgColor indexed="64"/>
      </patternFill>
    </fill>
    <fill>
      <patternFill patternType="solid">
        <fgColor rgb="FF5B9BD5"/>
        <bgColor indexed="64"/>
      </patternFill>
    </fill>
    <fill>
      <patternFill patternType="solid">
        <fgColor rgb="FFFFC000"/>
        <bgColor indexed="64"/>
      </patternFill>
    </fill>
    <fill>
      <patternFill patternType="solid">
        <fgColor theme="6" tint="-0.249977111117893"/>
        <bgColor indexed="64"/>
      </patternFill>
    </fill>
  </fills>
  <borders count="108">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medium">
        <color indexed="64"/>
      </bottom>
      <diagonal/>
    </border>
    <border>
      <left/>
      <right style="medium">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double">
        <color indexed="64"/>
      </right>
      <top/>
      <bottom style="medium">
        <color indexed="64"/>
      </bottom>
      <diagonal/>
    </border>
    <border>
      <left/>
      <right style="double">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0" fillId="0" borderId="0" applyNumberFormat="0" applyFill="0" applyBorder="0" applyAlignment="0" applyProtection="0"/>
  </cellStyleXfs>
  <cellXfs count="847">
    <xf numFmtId="0" fontId="0" fillId="0" borderId="0" xfId="0"/>
    <xf numFmtId="0" fontId="3" fillId="0" borderId="0" xfId="0" applyFont="1" applyAlignment="1">
      <alignment horizontal="center"/>
    </xf>
    <xf numFmtId="0" fontId="4" fillId="0" borderId="0" xfId="0" applyFont="1" applyAlignment="1">
      <alignment horizontal="center" wrapText="1"/>
    </xf>
    <xf numFmtId="0" fontId="4" fillId="0" borderId="1" xfId="0" applyFont="1" applyBorder="1" applyAlignment="1">
      <alignment horizontal="center" wrapText="1"/>
    </xf>
    <xf numFmtId="0" fontId="4" fillId="0" borderId="0" xfId="0" applyFont="1"/>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0" xfId="0" applyAlignment="1">
      <alignment horizontal="right"/>
    </xf>
    <xf numFmtId="0" fontId="4" fillId="0" borderId="0" xfId="0" applyFont="1" applyAlignment="1">
      <alignment horizontal="right"/>
    </xf>
    <xf numFmtId="0" fontId="4" fillId="0" borderId="0" xfId="0" applyFont="1" applyAlignment="1">
      <alignment horizontal="center"/>
    </xf>
    <xf numFmtId="0" fontId="0" fillId="0" borderId="1" xfId="0" applyBorder="1" applyAlignment="1">
      <alignment horizontal="center"/>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10" xfId="0" applyBorder="1" applyAlignment="1" applyProtection="1">
      <alignment horizontal="right"/>
      <protection locked="0"/>
    </xf>
    <xf numFmtId="0" fontId="0" fillId="0" borderId="10" xfId="0" applyBorder="1" applyProtection="1">
      <protection locked="0"/>
    </xf>
    <xf numFmtId="0" fontId="0" fillId="0" borderId="11" xfId="0" applyBorder="1"/>
    <xf numFmtId="10" fontId="0" fillId="0" borderId="0" xfId="0" applyNumberFormat="1"/>
    <xf numFmtId="0" fontId="0" fillId="2" borderId="4" xfId="0" applyFill="1" applyBorder="1"/>
    <xf numFmtId="0" fontId="0" fillId="0" borderId="12" xfId="0" applyBorder="1" applyProtection="1">
      <protection locked="0"/>
    </xf>
    <xf numFmtId="0" fontId="0" fillId="0" borderId="13" xfId="0" applyBorder="1" applyProtection="1">
      <protection locked="0"/>
    </xf>
    <xf numFmtId="0" fontId="0" fillId="0" borderId="13" xfId="0" applyBorder="1" applyAlignment="1" applyProtection="1">
      <alignment horizontal="right"/>
      <protection locked="0"/>
    </xf>
    <xf numFmtId="0" fontId="3" fillId="0" borderId="0" xfId="0" applyFont="1"/>
    <xf numFmtId="0" fontId="4" fillId="0" borderId="14" xfId="0" applyFont="1" applyBorder="1"/>
    <xf numFmtId="0" fontId="2" fillId="0" borderId="0" xfId="0" applyFont="1"/>
    <xf numFmtId="0" fontId="4" fillId="0" borderId="2" xfId="0" applyFont="1" applyBorder="1"/>
    <xf numFmtId="3" fontId="0" fillId="0" borderId="15" xfId="0" applyNumberFormat="1" applyBorder="1"/>
    <xf numFmtId="3" fontId="0" fillId="3" borderId="16" xfId="0" applyNumberFormat="1" applyFill="1" applyBorder="1"/>
    <xf numFmtId="3" fontId="0" fillId="3" borderId="15" xfId="0" applyNumberFormat="1" applyFill="1" applyBorder="1"/>
    <xf numFmtId="3" fontId="0" fillId="0" borderId="6" xfId="0" applyNumberFormat="1" applyBorder="1" applyProtection="1">
      <protection locked="0"/>
    </xf>
    <xf numFmtId="3" fontId="0" fillId="0" borderId="10" xfId="0" applyNumberFormat="1" applyBorder="1" applyAlignment="1" applyProtection="1">
      <alignment horizontal="right"/>
      <protection locked="0"/>
    </xf>
    <xf numFmtId="3" fontId="0" fillId="0" borderId="13" xfId="0" applyNumberFormat="1" applyBorder="1" applyAlignment="1" applyProtection="1">
      <alignment horizontal="right"/>
      <protection locked="0"/>
    </xf>
    <xf numFmtId="3" fontId="0" fillId="2" borderId="10" xfId="0" applyNumberFormat="1" applyFill="1" applyBorder="1"/>
    <xf numFmtId="3" fontId="0" fillId="2" borderId="6" xfId="0" applyNumberFormat="1" applyFill="1" applyBorder="1"/>
    <xf numFmtId="3" fontId="0" fillId="2" borderId="17" xfId="0" applyNumberFormat="1" applyFill="1" applyBorder="1"/>
    <xf numFmtId="3" fontId="0" fillId="2" borderId="10" xfId="0" applyNumberFormat="1" applyFill="1" applyBorder="1" applyAlignment="1">
      <alignment horizontal="right"/>
    </xf>
    <xf numFmtId="3" fontId="0" fillId="2" borderId="18" xfId="0" applyNumberFormat="1" applyFill="1" applyBorder="1" applyAlignment="1">
      <alignment horizontal="right"/>
    </xf>
    <xf numFmtId="3" fontId="0" fillId="2" borderId="8" xfId="0" applyNumberFormat="1" applyFill="1" applyBorder="1"/>
    <xf numFmtId="3" fontId="0" fillId="2" borderId="19" xfId="0" applyNumberFormat="1" applyFill="1" applyBorder="1"/>
    <xf numFmtId="3" fontId="0" fillId="2" borderId="15" xfId="0" applyNumberFormat="1" applyFill="1" applyBorder="1"/>
    <xf numFmtId="3" fontId="0" fillId="2" borderId="13" xfId="0" applyNumberFormat="1" applyFill="1" applyBorder="1"/>
    <xf numFmtId="3" fontId="0" fillId="0" borderId="10" xfId="0" applyNumberFormat="1" applyBorder="1" applyProtection="1">
      <protection locked="0"/>
    </xf>
    <xf numFmtId="3" fontId="0" fillId="0" borderId="13" xfId="0" applyNumberFormat="1" applyBorder="1" applyProtection="1">
      <protection locked="0"/>
    </xf>
    <xf numFmtId="3" fontId="0" fillId="2" borderId="4" xfId="0" applyNumberFormat="1" applyFill="1" applyBorder="1" applyAlignment="1">
      <alignment horizontal="right"/>
    </xf>
    <xf numFmtId="3" fontId="0" fillId="0" borderId="17" xfId="0" applyNumberFormat="1" applyBorder="1"/>
    <xf numFmtId="3" fontId="0" fillId="3" borderId="20" xfId="0" applyNumberFormat="1" applyFill="1" applyBorder="1"/>
    <xf numFmtId="3" fontId="0" fillId="0" borderId="16" xfId="0" applyNumberFormat="1" applyBorder="1"/>
    <xf numFmtId="3" fontId="4" fillId="3" borderId="16" xfId="0" applyNumberFormat="1" applyFont="1" applyFill="1" applyBorder="1"/>
    <xf numFmtId="3" fontId="3" fillId="0" borderId="15" xfId="0" applyNumberFormat="1" applyFont="1" applyBorder="1"/>
    <xf numFmtId="0" fontId="2" fillId="0" borderId="0" xfId="0" applyFont="1" applyAlignment="1">
      <alignment horizontal="center"/>
    </xf>
    <xf numFmtId="10" fontId="0" fillId="0" borderId="1" xfId="0" applyNumberFormat="1" applyBorder="1"/>
    <xf numFmtId="0" fontId="4" fillId="0" borderId="0" xfId="0" quotePrefix="1" applyFont="1"/>
    <xf numFmtId="0" fontId="0" fillId="0" borderId="8" xfId="0" applyBorder="1" applyProtection="1">
      <protection locked="0"/>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14" fontId="0" fillId="0" borderId="0" xfId="0" applyNumberFormat="1"/>
    <xf numFmtId="0" fontId="4" fillId="0" borderId="24" xfId="0" applyFont="1" applyBorder="1" applyAlignment="1">
      <alignment horizontal="center" wrapText="1"/>
    </xf>
    <xf numFmtId="0" fontId="0" fillId="0" borderId="1" xfId="0" applyBorder="1"/>
    <xf numFmtId="0" fontId="10" fillId="0" borderId="0" xfId="0" applyFont="1"/>
    <xf numFmtId="0" fontId="11" fillId="0" borderId="0" xfId="0" applyFont="1" applyAlignment="1">
      <alignment horizontal="center"/>
    </xf>
    <xf numFmtId="0" fontId="4" fillId="2" borderId="0" xfId="0" applyFont="1" applyFill="1"/>
    <xf numFmtId="0" fontId="0" fillId="2" borderId="0" xfId="0" applyFill="1"/>
    <xf numFmtId="0" fontId="3" fillId="2" borderId="0" xfId="0" applyFont="1" applyFill="1" applyAlignment="1">
      <alignment horizontal="left"/>
    </xf>
    <xf numFmtId="0" fontId="4" fillId="2" borderId="25" xfId="0" applyFont="1" applyFill="1" applyBorder="1"/>
    <xf numFmtId="0" fontId="12" fillId="2" borderId="25" xfId="0" applyFont="1" applyFill="1" applyBorder="1" applyAlignment="1">
      <alignment horizontal="right"/>
    </xf>
    <xf numFmtId="0" fontId="13" fillId="0" borderId="16" xfId="0" applyFont="1" applyBorder="1" applyAlignment="1">
      <alignment horizontal="left" indent="2"/>
    </xf>
    <xf numFmtId="165" fontId="3" fillId="0" borderId="10" xfId="0" applyNumberFormat="1" applyFont="1" applyBorder="1" applyAlignment="1">
      <alignment horizontal="right"/>
    </xf>
    <xf numFmtId="165" fontId="3" fillId="2" borderId="0" xfId="0" applyNumberFormat="1" applyFont="1" applyFill="1" applyAlignment="1">
      <alignment horizontal="left"/>
    </xf>
    <xf numFmtId="165" fontId="3" fillId="2" borderId="0" xfId="0" applyNumberFormat="1" applyFont="1" applyFill="1" applyAlignment="1">
      <alignment horizontal="right"/>
    </xf>
    <xf numFmtId="165" fontId="3" fillId="2" borderId="26" xfId="0" applyNumberFormat="1" applyFont="1" applyFill="1" applyBorder="1" applyAlignment="1">
      <alignment horizontal="right"/>
    </xf>
    <xf numFmtId="37" fontId="3" fillId="2" borderId="0" xfId="0" applyNumberFormat="1" applyFont="1" applyFill="1" applyAlignment="1">
      <alignment horizontal="right"/>
    </xf>
    <xf numFmtId="37" fontId="3" fillId="2" borderId="26" xfId="0" applyNumberFormat="1" applyFont="1" applyFill="1" applyBorder="1" applyAlignment="1">
      <alignment horizontal="right"/>
    </xf>
    <xf numFmtId="0" fontId="3" fillId="2" borderId="16" xfId="0" applyFont="1" applyFill="1" applyBorder="1" applyAlignment="1">
      <alignment horizontal="left"/>
    </xf>
    <xf numFmtId="165" fontId="4" fillId="0" borderId="27" xfId="0" applyNumberFormat="1" applyFont="1" applyBorder="1" applyAlignment="1">
      <alignment horizontal="right"/>
    </xf>
    <xf numFmtId="165" fontId="4" fillId="0" borderId="10" xfId="0" applyNumberFormat="1" applyFont="1" applyBorder="1" applyAlignment="1">
      <alignment horizontal="right"/>
    </xf>
    <xf numFmtId="0" fontId="3" fillId="2" borderId="28" xfId="0" applyFont="1" applyFill="1" applyBorder="1" applyAlignment="1">
      <alignment horizontal="left"/>
    </xf>
    <xf numFmtId="165" fontId="4" fillId="0" borderId="28" xfId="0" applyNumberFormat="1" applyFont="1" applyBorder="1" applyAlignment="1">
      <alignment horizontal="right"/>
    </xf>
    <xf numFmtId="0" fontId="13" fillId="0" borderId="29" xfId="0" applyFont="1" applyBorder="1" applyAlignment="1">
      <alignment horizontal="left" indent="2"/>
    </xf>
    <xf numFmtId="165" fontId="3" fillId="0" borderId="29" xfId="0" applyNumberFormat="1" applyFont="1" applyBorder="1" applyAlignment="1">
      <alignment horizontal="right"/>
    </xf>
    <xf numFmtId="0" fontId="12" fillId="2" borderId="0" xfId="0" applyFont="1" applyFill="1" applyAlignment="1">
      <alignment horizontal="right"/>
    </xf>
    <xf numFmtId="0" fontId="0" fillId="0" borderId="3" xfId="0" applyBorder="1"/>
    <xf numFmtId="2" fontId="4" fillId="0" borderId="16" xfId="0" applyNumberFormat="1" applyFont="1" applyBorder="1" applyAlignment="1">
      <alignment horizontal="right"/>
    </xf>
    <xf numFmtId="2" fontId="4" fillId="0" borderId="10" xfId="0" applyNumberFormat="1" applyFont="1" applyBorder="1"/>
    <xf numFmtId="0" fontId="0" fillId="0" borderId="30" xfId="0" applyBorder="1"/>
    <xf numFmtId="0" fontId="0" fillId="0" borderId="30" xfId="0" applyBorder="1" applyAlignment="1">
      <alignment horizontal="right"/>
    </xf>
    <xf numFmtId="0" fontId="4" fillId="0" borderId="16" xfId="0" applyFont="1" applyBorder="1" applyAlignment="1">
      <alignment horizontal="right"/>
    </xf>
    <xf numFmtId="2" fontId="0" fillId="2" borderId="26" xfId="0" applyNumberFormat="1" applyFill="1" applyBorder="1"/>
    <xf numFmtId="49" fontId="17" fillId="2" borderId="0" xfId="0" applyNumberFormat="1" applyFont="1" applyFill="1"/>
    <xf numFmtId="2" fontId="0" fillId="2" borderId="0" xfId="0" applyNumberFormat="1" applyFill="1"/>
    <xf numFmtId="0" fontId="0" fillId="0" borderId="31" xfId="0" applyBorder="1" applyAlignment="1">
      <alignment horizontal="right"/>
    </xf>
    <xf numFmtId="0" fontId="12" fillId="2" borderId="0" xfId="0" applyFont="1" applyFill="1" applyAlignment="1">
      <alignment horizontal="center"/>
    </xf>
    <xf numFmtId="2" fontId="0" fillId="0" borderId="0" xfId="0" applyNumberFormat="1"/>
    <xf numFmtId="0" fontId="3" fillId="4" borderId="16" xfId="0" applyFont="1" applyFill="1" applyBorder="1" applyAlignment="1">
      <alignment horizontal="left"/>
    </xf>
    <xf numFmtId="0" fontId="3" fillId="4" borderId="16" xfId="0" applyFont="1" applyFill="1" applyBorder="1"/>
    <xf numFmtId="0" fontId="3" fillId="0" borderId="16" xfId="0" applyFont="1" applyBorder="1"/>
    <xf numFmtId="0" fontId="3" fillId="2" borderId="32" xfId="0" applyFont="1" applyFill="1" applyBorder="1" applyAlignment="1">
      <alignment horizontal="left"/>
    </xf>
    <xf numFmtId="0" fontId="4" fillId="0" borderId="0" xfId="0" applyFont="1" applyAlignment="1">
      <alignment horizontal="left" indent="1"/>
    </xf>
    <xf numFmtId="165" fontId="4" fillId="0" borderId="0" xfId="0" applyNumberFormat="1" applyFont="1" applyAlignment="1">
      <alignment horizontal="right"/>
    </xf>
    <xf numFmtId="0" fontId="3" fillId="2" borderId="33" xfId="0" applyFont="1" applyFill="1" applyBorder="1" applyAlignment="1">
      <alignment horizontal="left" indent="1"/>
    </xf>
    <xf numFmtId="165" fontId="3" fillId="0" borderId="0" xfId="0" applyNumberFormat="1" applyFont="1" applyAlignment="1">
      <alignment horizontal="right"/>
    </xf>
    <xf numFmtId="10" fontId="3" fillId="4" borderId="16" xfId="0" applyNumberFormat="1" applyFont="1" applyFill="1" applyBorder="1" applyAlignment="1">
      <alignment horizontal="left"/>
    </xf>
    <xf numFmtId="0" fontId="4" fillId="2" borderId="34" xfId="0" applyFont="1" applyFill="1" applyBorder="1"/>
    <xf numFmtId="0" fontId="3" fillId="2" borderId="33" xfId="0" applyFont="1" applyFill="1" applyBorder="1"/>
    <xf numFmtId="165" fontId="4" fillId="0" borderId="33" xfId="0" applyNumberFormat="1" applyFont="1" applyBorder="1" applyAlignment="1">
      <alignment horizontal="right"/>
    </xf>
    <xf numFmtId="165" fontId="4" fillId="0" borderId="34" xfId="0" applyNumberFormat="1" applyFont="1" applyBorder="1" applyAlignment="1">
      <alignment horizontal="right"/>
    </xf>
    <xf numFmtId="0" fontId="3" fillId="2" borderId="34" xfId="0" applyFont="1" applyFill="1" applyBorder="1"/>
    <xf numFmtId="165" fontId="4" fillId="0" borderId="28" xfId="0" applyNumberFormat="1" applyFont="1" applyBorder="1"/>
    <xf numFmtId="165" fontId="3" fillId="0" borderId="0" xfId="0" applyNumberFormat="1" applyFont="1"/>
    <xf numFmtId="0" fontId="4" fillId="2" borderId="35" xfId="0" applyFont="1" applyFill="1" applyBorder="1"/>
    <xf numFmtId="165" fontId="4" fillId="0" borderId="0" xfId="0" applyNumberFormat="1" applyFont="1"/>
    <xf numFmtId="0" fontId="3" fillId="0" borderId="36" xfId="0" applyFont="1" applyBorder="1"/>
    <xf numFmtId="0" fontId="3" fillId="2" borderId="36" xfId="0" applyFont="1" applyFill="1" applyBorder="1"/>
    <xf numFmtId="165" fontId="4" fillId="0" borderId="10" xfId="0" applyNumberFormat="1" applyFont="1" applyBorder="1"/>
    <xf numFmtId="0" fontId="3" fillId="2" borderId="28" xfId="0" applyFont="1" applyFill="1" applyBorder="1"/>
    <xf numFmtId="165" fontId="3" fillId="0" borderId="29" xfId="0" applyNumberFormat="1" applyFont="1" applyBorder="1"/>
    <xf numFmtId="0" fontId="3" fillId="2" borderId="16" xfId="0" applyFont="1" applyFill="1" applyBorder="1"/>
    <xf numFmtId="0" fontId="0" fillId="0" borderId="37" xfId="0" applyBorder="1"/>
    <xf numFmtId="0" fontId="0" fillId="0" borderId="38" xfId="0" applyBorder="1"/>
    <xf numFmtId="0" fontId="4" fillId="2" borderId="32" xfId="0" applyFont="1" applyFill="1" applyBorder="1"/>
    <xf numFmtId="165" fontId="4" fillId="0" borderId="39" xfId="0" applyNumberFormat="1" applyFont="1" applyBorder="1"/>
    <xf numFmtId="165" fontId="4" fillId="0" borderId="39" xfId="0" applyNumberFormat="1" applyFont="1" applyBorder="1" applyAlignment="1">
      <alignment horizontal="right"/>
    </xf>
    <xf numFmtId="0" fontId="3" fillId="0" borderId="40" xfId="0" applyFont="1" applyBorder="1"/>
    <xf numFmtId="165" fontId="3" fillId="0" borderId="41" xfId="0" applyNumberFormat="1" applyFont="1" applyBorder="1"/>
    <xf numFmtId="165" fontId="3" fillId="0" borderId="42" xfId="0" applyNumberFormat="1" applyFont="1" applyBorder="1"/>
    <xf numFmtId="0" fontId="3" fillId="2" borderId="43" xfId="0" applyFont="1" applyFill="1" applyBorder="1"/>
    <xf numFmtId="165" fontId="3" fillId="0" borderId="44" xfId="1" applyNumberFormat="1" applyFont="1" applyBorder="1" applyAlignment="1">
      <alignment horizontal="right"/>
    </xf>
    <xf numFmtId="165" fontId="3" fillId="0" borderId="39" xfId="0" applyNumberFormat="1" applyFont="1" applyBorder="1" applyAlignment="1">
      <alignment horizontal="right"/>
    </xf>
    <xf numFmtId="0" fontId="3" fillId="0" borderId="37" xfId="0" applyFont="1" applyBorder="1"/>
    <xf numFmtId="165" fontId="3" fillId="0" borderId="35" xfId="0" applyNumberFormat="1" applyFont="1" applyBorder="1"/>
    <xf numFmtId="165" fontId="3" fillId="0" borderId="40" xfId="0" applyNumberFormat="1" applyFont="1" applyBorder="1"/>
    <xf numFmtId="0" fontId="3" fillId="2" borderId="8" xfId="0" applyFont="1" applyFill="1" applyBorder="1"/>
    <xf numFmtId="165" fontId="3" fillId="2" borderId="28" xfId="0" applyNumberFormat="1" applyFont="1" applyFill="1" applyBorder="1"/>
    <xf numFmtId="0" fontId="13" fillId="0" borderId="26" xfId="0" applyFont="1" applyBorder="1"/>
    <xf numFmtId="0" fontId="3" fillId="2" borderId="32" xfId="0" applyFont="1" applyFill="1" applyBorder="1"/>
    <xf numFmtId="0" fontId="0" fillId="0" borderId="29" xfId="0" applyBorder="1"/>
    <xf numFmtId="0" fontId="0" fillId="5" borderId="35" xfId="0" applyFill="1" applyBorder="1" applyAlignment="1">
      <alignment horizontal="right"/>
    </xf>
    <xf numFmtId="0" fontId="0" fillId="5" borderId="16" xfId="0" applyFill="1" applyBorder="1" applyAlignment="1">
      <alignment horizontal="right"/>
    </xf>
    <xf numFmtId="0" fontId="0" fillId="5" borderId="26" xfId="0" applyFill="1" applyBorder="1" applyAlignment="1">
      <alignment horizontal="right"/>
    </xf>
    <xf numFmtId="0" fontId="0" fillId="5" borderId="36" xfId="0" applyFill="1" applyBorder="1" applyAlignment="1">
      <alignment horizontal="right"/>
    </xf>
    <xf numFmtId="0" fontId="13" fillId="0" borderId="28" xfId="0" applyFont="1" applyBorder="1" applyAlignment="1">
      <alignment horizontal="left" indent="2"/>
    </xf>
    <xf numFmtId="165" fontId="3" fillId="0" borderId="28" xfId="0" applyNumberFormat="1" applyFont="1" applyBorder="1" applyAlignment="1">
      <alignment horizontal="right"/>
    </xf>
    <xf numFmtId="0" fontId="12" fillId="2" borderId="16" xfId="0" applyFont="1" applyFill="1" applyBorder="1" applyAlignment="1">
      <alignment horizontal="center"/>
    </xf>
    <xf numFmtId="0" fontId="12" fillId="2" borderId="25" xfId="0" applyFont="1" applyFill="1" applyBorder="1" applyAlignment="1">
      <alignment horizontal="center"/>
    </xf>
    <xf numFmtId="0" fontId="0" fillId="0" borderId="23" xfId="0" applyBorder="1" applyAlignment="1">
      <alignment horizontal="right"/>
    </xf>
    <xf numFmtId="0" fontId="0" fillId="0" borderId="46" xfId="0" applyBorder="1"/>
    <xf numFmtId="0" fontId="13" fillId="0" borderId="40" xfId="0" applyFont="1" applyBorder="1"/>
    <xf numFmtId="165" fontId="3" fillId="0" borderId="39" xfId="0" applyNumberFormat="1" applyFont="1" applyBorder="1"/>
    <xf numFmtId="165" fontId="3" fillId="0" borderId="22" xfId="0" applyNumberFormat="1" applyFont="1" applyBorder="1" applyAlignment="1">
      <alignment horizontal="right"/>
    </xf>
    <xf numFmtId="165" fontId="4" fillId="0" borderId="42" xfId="0" applyNumberFormat="1" applyFont="1" applyBorder="1" applyAlignment="1">
      <alignment horizontal="right"/>
    </xf>
    <xf numFmtId="165" fontId="0" fillId="5" borderId="35" xfId="0" applyNumberFormat="1" applyFill="1" applyBorder="1"/>
    <xf numFmtId="165" fontId="0" fillId="5" borderId="10" xfId="0" applyNumberFormat="1" applyFill="1" applyBorder="1"/>
    <xf numFmtId="165" fontId="0" fillId="5" borderId="8" xfId="0" applyNumberFormat="1" applyFill="1" applyBorder="1"/>
    <xf numFmtId="165" fontId="0" fillId="5" borderId="22" xfId="0" applyNumberFormat="1" applyFill="1" applyBorder="1"/>
    <xf numFmtId="165" fontId="4" fillId="5" borderId="35" xfId="0" applyNumberFormat="1" applyFont="1" applyFill="1" applyBorder="1"/>
    <xf numFmtId="165" fontId="4" fillId="5" borderId="8" xfId="0" applyNumberFormat="1" applyFont="1" applyFill="1" applyBorder="1"/>
    <xf numFmtId="165" fontId="4" fillId="5" borderId="34" xfId="0" applyNumberFormat="1" applyFont="1" applyFill="1" applyBorder="1"/>
    <xf numFmtId="165" fontId="4" fillId="5" borderId="28" xfId="0" applyNumberFormat="1" applyFont="1" applyFill="1" applyBorder="1"/>
    <xf numFmtId="165" fontId="0" fillId="0" borderId="16" xfId="0" applyNumberFormat="1" applyBorder="1"/>
    <xf numFmtId="165" fontId="0" fillId="0" borderId="10" xfId="0" applyNumberFormat="1" applyBorder="1"/>
    <xf numFmtId="165" fontId="0" fillId="0" borderId="34" xfId="0" applyNumberFormat="1" applyBorder="1"/>
    <xf numFmtId="0" fontId="3" fillId="0" borderId="29" xfId="0" applyFont="1" applyBorder="1"/>
    <xf numFmtId="164" fontId="0" fillId="2" borderId="25" xfId="0" applyNumberFormat="1" applyFill="1" applyBorder="1" applyAlignment="1">
      <alignment horizontal="right"/>
    </xf>
    <xf numFmtId="165" fontId="0" fillId="0" borderId="28" xfId="0" applyNumberFormat="1" applyBorder="1"/>
    <xf numFmtId="165" fontId="4" fillId="0" borderId="38" xfId="0" applyNumberFormat="1" applyFont="1" applyBorder="1" applyAlignment="1">
      <alignment horizontal="right"/>
    </xf>
    <xf numFmtId="3" fontId="0" fillId="0" borderId="0" xfId="0" applyNumberFormat="1"/>
    <xf numFmtId="0" fontId="7" fillId="0" borderId="0" xfId="0" applyFont="1" applyProtection="1">
      <protection locked="0"/>
    </xf>
    <xf numFmtId="14" fontId="0" fillId="0" borderId="1" xfId="0" applyNumberFormat="1" applyBorder="1" applyProtection="1">
      <protection locked="0"/>
    </xf>
    <xf numFmtId="0" fontId="2" fillId="0" borderId="0" xfId="0" applyFont="1" applyAlignment="1">
      <alignment horizontal="center" vertical="top"/>
    </xf>
    <xf numFmtId="0" fontId="3" fillId="0" borderId="25" xfId="0" applyFont="1" applyBorder="1" applyAlignment="1" applyProtection="1">
      <alignment horizontal="right" vertical="top"/>
      <protection locked="0"/>
    </xf>
    <xf numFmtId="0" fontId="0" fillId="6" borderId="10" xfId="0" applyFill="1" applyBorder="1" applyAlignment="1" applyProtection="1">
      <alignment horizontal="right"/>
      <protection locked="0"/>
    </xf>
    <xf numFmtId="2" fontId="3" fillId="7" borderId="16" xfId="0" applyNumberFormat="1" applyFont="1" applyFill="1" applyBorder="1" applyAlignment="1">
      <alignment horizontal="right"/>
    </xf>
    <xf numFmtId="10" fontId="3" fillId="7" borderId="10" xfId="2" applyNumberFormat="1" applyFont="1" applyFill="1" applyBorder="1"/>
    <xf numFmtId="2" fontId="3" fillId="7" borderId="26" xfId="0" applyNumberFormat="1" applyFont="1" applyFill="1" applyBorder="1"/>
    <xf numFmtId="0" fontId="0" fillId="7" borderId="16" xfId="0" applyFill="1" applyBorder="1" applyAlignment="1">
      <alignment horizontal="right"/>
    </xf>
    <xf numFmtId="10" fontId="1" fillId="7" borderId="10" xfId="2" applyNumberFormat="1" applyFill="1" applyBorder="1"/>
    <xf numFmtId="2" fontId="0" fillId="7" borderId="26" xfId="0" applyNumberFormat="1" applyFill="1" applyBorder="1"/>
    <xf numFmtId="2" fontId="0" fillId="7" borderId="10" xfId="0" applyNumberFormat="1" applyFill="1" applyBorder="1"/>
    <xf numFmtId="2" fontId="0" fillId="7" borderId="16" xfId="0" applyNumberFormat="1" applyFill="1" applyBorder="1" applyAlignment="1">
      <alignment horizontal="right"/>
    </xf>
    <xf numFmtId="2" fontId="0" fillId="7" borderId="22" xfId="0" applyNumberFormat="1" applyFill="1" applyBorder="1"/>
    <xf numFmtId="0" fontId="0" fillId="7" borderId="34" xfId="0" applyFill="1" applyBorder="1" applyAlignment="1">
      <alignment horizontal="right"/>
    </xf>
    <xf numFmtId="10" fontId="1" fillId="7" borderId="28" xfId="2" applyNumberFormat="1" applyFill="1" applyBorder="1"/>
    <xf numFmtId="2" fontId="0" fillId="7" borderId="28" xfId="0" applyNumberFormat="1" applyFill="1" applyBorder="1"/>
    <xf numFmtId="3" fontId="0" fillId="2" borderId="21" xfId="0" applyNumberFormat="1" applyFill="1" applyBorder="1"/>
    <xf numFmtId="3" fontId="0" fillId="2" borderId="22" xfId="0" applyNumberFormat="1" applyFill="1" applyBorder="1"/>
    <xf numFmtId="0" fontId="0" fillId="0" borderId="50" xfId="0" applyBorder="1" applyProtection="1">
      <protection locked="0"/>
    </xf>
    <xf numFmtId="0" fontId="0" fillId="0" borderId="51" xfId="0" applyBorder="1" applyProtection="1">
      <protection locked="0"/>
    </xf>
    <xf numFmtId="0" fontId="0" fillId="0" borderId="52" xfId="0" applyBorder="1" applyProtection="1">
      <protection locked="0"/>
    </xf>
    <xf numFmtId="0" fontId="0" fillId="0" borderId="53" xfId="0" applyBorder="1" applyProtection="1">
      <protection locked="0"/>
    </xf>
    <xf numFmtId="0" fontId="0" fillId="0" borderId="54" xfId="0" applyBorder="1" applyProtection="1">
      <protection locked="0"/>
    </xf>
    <xf numFmtId="0" fontId="0" fillId="0" borderId="55" xfId="0" applyBorder="1"/>
    <xf numFmtId="0" fontId="4" fillId="8" borderId="24" xfId="0" applyFont="1" applyFill="1" applyBorder="1"/>
    <xf numFmtId="10" fontId="0" fillId="9" borderId="56" xfId="0" applyNumberFormat="1" applyFill="1" applyBorder="1" applyProtection="1">
      <protection locked="0"/>
    </xf>
    <xf numFmtId="0" fontId="0" fillId="8" borderId="1" xfId="0" applyFill="1" applyBorder="1"/>
    <xf numFmtId="0" fontId="0" fillId="4" borderId="57" xfId="0" applyFill="1" applyBorder="1"/>
    <xf numFmtId="0" fontId="0" fillId="4" borderId="58" xfId="0" applyFill="1" applyBorder="1"/>
    <xf numFmtId="0" fontId="4" fillId="8" borderId="59" xfId="0" applyFont="1" applyFill="1" applyBorder="1" applyAlignment="1">
      <alignment horizontal="center"/>
    </xf>
    <xf numFmtId="0" fontId="4" fillId="8" borderId="24" xfId="0" applyFont="1" applyFill="1" applyBorder="1" applyAlignment="1">
      <alignment horizontal="center"/>
    </xf>
    <xf numFmtId="0" fontId="4" fillId="8" borderId="60" xfId="0" applyFont="1" applyFill="1" applyBorder="1" applyAlignment="1">
      <alignment horizontal="center"/>
    </xf>
    <xf numFmtId="10" fontId="0" fillId="2" borderId="25" xfId="0" applyNumberFormat="1" applyFill="1" applyBorder="1" applyAlignment="1">
      <alignment horizontal="right" indent="1"/>
    </xf>
    <xf numFmtId="0" fontId="0" fillId="0" borderId="61" xfId="0" applyBorder="1" applyProtection="1">
      <protection locked="0"/>
    </xf>
    <xf numFmtId="0" fontId="0" fillId="0" borderId="49" xfId="0" applyBorder="1" applyProtection="1">
      <protection locked="0"/>
    </xf>
    <xf numFmtId="3" fontId="0" fillId="0" borderId="6" xfId="0" applyNumberFormat="1" applyBorder="1" applyAlignment="1" applyProtection="1">
      <alignment horizontal="right"/>
      <protection locked="0"/>
    </xf>
    <xf numFmtId="0" fontId="0" fillId="0" borderId="6" xfId="0" applyBorder="1" applyAlignment="1" applyProtection="1">
      <alignment horizontal="right"/>
      <protection locked="0"/>
    </xf>
    <xf numFmtId="0" fontId="0" fillId="0" borderId="57" xfId="0" applyBorder="1" applyProtection="1">
      <protection locked="0"/>
    </xf>
    <xf numFmtId="3" fontId="0" fillId="2" borderId="57" xfId="0" applyNumberFormat="1" applyFill="1" applyBorder="1"/>
    <xf numFmtId="3" fontId="0" fillId="2" borderId="58" xfId="0" applyNumberFormat="1" applyFill="1" applyBorder="1"/>
    <xf numFmtId="0" fontId="3" fillId="0" borderId="6" xfId="0" applyFont="1" applyBorder="1" applyProtection="1">
      <protection locked="0"/>
    </xf>
    <xf numFmtId="3" fontId="0" fillId="2" borderId="62" xfId="0" applyNumberFormat="1" applyFill="1" applyBorder="1"/>
    <xf numFmtId="0" fontId="3" fillId="0" borderId="10" xfId="0" applyFont="1" applyBorder="1" applyProtection="1">
      <protection locked="0"/>
    </xf>
    <xf numFmtId="0" fontId="0" fillId="7" borderId="36" xfId="0" applyFill="1" applyBorder="1" applyAlignment="1">
      <alignment horizontal="right"/>
    </xf>
    <xf numFmtId="10" fontId="1" fillId="7" borderId="22" xfId="2" applyNumberFormat="1" applyFill="1" applyBorder="1"/>
    <xf numFmtId="0" fontId="13" fillId="0" borderId="0" xfId="0" applyFont="1" applyAlignment="1">
      <alignment horizontal="left" indent="2"/>
    </xf>
    <xf numFmtId="0" fontId="13" fillId="0" borderId="22" xfId="0" applyFont="1" applyBorder="1" applyAlignment="1">
      <alignment horizontal="left" indent="2"/>
    </xf>
    <xf numFmtId="165" fontId="3" fillId="2" borderId="48" xfId="0" applyNumberFormat="1" applyFont="1" applyFill="1" applyBorder="1" applyAlignment="1">
      <alignment horizontal="left"/>
    </xf>
    <xf numFmtId="165" fontId="3" fillId="2" borderId="48" xfId="0" applyNumberFormat="1" applyFont="1" applyFill="1" applyBorder="1" applyAlignment="1">
      <alignment horizontal="right"/>
    </xf>
    <xf numFmtId="165" fontId="3" fillId="2" borderId="16" xfId="0" applyNumberFormat="1" applyFont="1" applyFill="1" applyBorder="1" applyAlignment="1">
      <alignment horizontal="right"/>
    </xf>
    <xf numFmtId="0" fontId="3" fillId="2" borderId="41" xfId="0" applyFont="1" applyFill="1" applyBorder="1" applyAlignment="1">
      <alignment horizontal="left"/>
    </xf>
    <xf numFmtId="0" fontId="16" fillId="0" borderId="0" xfId="0" applyFont="1" applyAlignment="1">
      <alignment horizontal="right" vertical="top" wrapText="1" readingOrder="1"/>
    </xf>
    <xf numFmtId="49" fontId="0" fillId="0" borderId="0" xfId="0" applyNumberFormat="1" applyAlignment="1">
      <alignment vertical="top"/>
    </xf>
    <xf numFmtId="0" fontId="0" fillId="0" borderId="0" xfId="0" applyAlignment="1">
      <alignment vertical="top"/>
    </xf>
    <xf numFmtId="0" fontId="3" fillId="0" borderId="0" xfId="0" applyFont="1" applyAlignment="1">
      <alignment vertical="top"/>
    </xf>
    <xf numFmtId="49" fontId="3" fillId="0" borderId="0" xfId="0" applyNumberFormat="1" applyFont="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0" fontId="18" fillId="2" borderId="66" xfId="0" applyFont="1" applyFill="1" applyBorder="1"/>
    <xf numFmtId="164" fontId="3" fillId="2" borderId="25" xfId="0" applyNumberFormat="1" applyFont="1" applyFill="1" applyBorder="1" applyAlignment="1">
      <alignment horizontal="right"/>
    </xf>
    <xf numFmtId="10" fontId="3" fillId="2" borderId="10" xfId="0" applyNumberFormat="1" applyFont="1" applyFill="1" applyBorder="1"/>
    <xf numFmtId="0" fontId="3" fillId="2" borderId="10" xfId="0" applyFont="1" applyFill="1" applyBorder="1"/>
    <xf numFmtId="0" fontId="4" fillId="0" borderId="1" xfId="0" applyFont="1" applyBorder="1"/>
    <xf numFmtId="0" fontId="0" fillId="0" borderId="0" xfId="0" applyAlignment="1">
      <alignment vertical="center" wrapText="1"/>
    </xf>
    <xf numFmtId="0" fontId="0" fillId="0" borderId="10" xfId="0" applyBorder="1" applyAlignment="1">
      <alignment vertical="center" wrapText="1"/>
    </xf>
    <xf numFmtId="165" fontId="0" fillId="0" borderId="10" xfId="0" applyNumberFormat="1" applyBorder="1" applyAlignment="1">
      <alignment vertical="center" wrapText="1"/>
    </xf>
    <xf numFmtId="165" fontId="0" fillId="12" borderId="10" xfId="0" applyNumberFormat="1" applyFill="1" applyBorder="1" applyAlignment="1">
      <alignment vertical="center" wrapText="1"/>
    </xf>
    <xf numFmtId="0" fontId="3" fillId="0" borderId="10" xfId="0" applyFont="1" applyBorder="1" applyAlignment="1">
      <alignment vertical="center" wrapText="1"/>
    </xf>
    <xf numFmtId="49" fontId="3" fillId="0" borderId="10"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0" xfId="0" quotePrefix="1" applyFont="1" applyBorder="1" applyAlignment="1">
      <alignment vertical="center" wrapText="1"/>
    </xf>
    <xf numFmtId="0" fontId="0" fillId="0" borderId="10" xfId="0" applyBorder="1" applyAlignment="1">
      <alignment horizontal="center" vertical="center" wrapText="1"/>
    </xf>
    <xf numFmtId="49" fontId="3" fillId="0" borderId="10" xfId="0" applyNumberFormat="1" applyFont="1" applyBorder="1" applyAlignment="1">
      <alignment horizontal="right" vertical="center" wrapText="1"/>
    </xf>
    <xf numFmtId="165" fontId="0" fillId="0" borderId="10" xfId="0" applyNumberFormat="1" applyBorder="1" applyAlignment="1" applyProtection="1">
      <alignment vertical="center" wrapText="1"/>
      <protection locked="0"/>
    </xf>
    <xf numFmtId="0" fontId="0" fillId="0" borderId="10" xfId="0" applyBorder="1" applyAlignment="1" applyProtection="1">
      <alignment vertical="center" wrapText="1"/>
      <protection locked="0"/>
    </xf>
    <xf numFmtId="0" fontId="13" fillId="0" borderId="27" xfId="0" applyFont="1" applyBorder="1" applyAlignment="1">
      <alignment horizontal="left" indent="2"/>
    </xf>
    <xf numFmtId="0" fontId="13" fillId="0" borderId="80" xfId="0" applyFont="1" applyBorder="1" applyAlignment="1">
      <alignment horizontal="left" indent="2"/>
    </xf>
    <xf numFmtId="0" fontId="4" fillId="2" borderId="25" xfId="0" applyFont="1" applyFill="1" applyBorder="1" applyAlignment="1">
      <alignment horizontal="left" indent="1"/>
    </xf>
    <xf numFmtId="0" fontId="0" fillId="0" borderId="43" xfId="0" applyBorder="1"/>
    <xf numFmtId="0" fontId="0" fillId="0" borderId="90" xfId="0" applyBorder="1"/>
    <xf numFmtId="0" fontId="23" fillId="0" borderId="87" xfId="0" applyFont="1" applyBorder="1" applyAlignment="1">
      <alignment vertical="center" wrapText="1"/>
    </xf>
    <xf numFmtId="0" fontId="23" fillId="0" borderId="0" xfId="0" applyFont="1" applyAlignment="1">
      <alignment vertical="center" wrapText="1"/>
    </xf>
    <xf numFmtId="0" fontId="0" fillId="0" borderId="0" xfId="0" applyAlignment="1">
      <alignment vertical="center"/>
    </xf>
    <xf numFmtId="14" fontId="23" fillId="0" borderId="0" xfId="0" applyNumberFormat="1" applyFont="1" applyAlignment="1">
      <alignment horizontal="center" vertical="center" wrapText="1"/>
    </xf>
    <xf numFmtId="49" fontId="3" fillId="0" borderId="83" xfId="0" applyNumberFormat="1" applyFont="1" applyBorder="1" applyAlignment="1">
      <alignment vertical="center"/>
    </xf>
    <xf numFmtId="0" fontId="0" fillId="0" borderId="83" xfId="0" applyBorder="1" applyAlignment="1">
      <alignment vertical="center"/>
    </xf>
    <xf numFmtId="0" fontId="0" fillId="0" borderId="89" xfId="0" applyBorder="1" applyAlignment="1">
      <alignment vertical="center"/>
    </xf>
    <xf numFmtId="0" fontId="0" fillId="0" borderId="43" xfId="0" applyBorder="1" applyAlignment="1">
      <alignment vertical="center"/>
    </xf>
    <xf numFmtId="49" fontId="3" fillId="0" borderId="94" xfId="0" applyNumberFormat="1" applyFont="1" applyBorder="1" applyAlignment="1">
      <alignment vertical="center"/>
    </xf>
    <xf numFmtId="0" fontId="23" fillId="0" borderId="25" xfId="0" applyFont="1" applyBorder="1" applyAlignment="1" applyProtection="1">
      <alignment horizontal="center" vertical="center" wrapText="1"/>
      <protection locked="0"/>
    </xf>
    <xf numFmtId="0" fontId="0" fillId="0" borderId="48" xfId="0" applyBorder="1" applyAlignment="1" applyProtection="1">
      <alignment horizontal="right"/>
      <protection locked="0"/>
    </xf>
    <xf numFmtId="49" fontId="3" fillId="13" borderId="94" xfId="0" applyNumberFormat="1" applyFont="1" applyFill="1" applyBorder="1" applyAlignment="1">
      <alignment vertical="center"/>
    </xf>
    <xf numFmtId="0" fontId="0" fillId="0" borderId="25" xfId="0" applyBorder="1" applyAlignment="1" applyProtection="1">
      <alignment horizontal="center"/>
      <protection locked="0"/>
    </xf>
    <xf numFmtId="0" fontId="0" fillId="0" borderId="66" xfId="0" applyBorder="1"/>
    <xf numFmtId="0" fontId="13" fillId="0" borderId="16" xfId="0" applyFont="1" applyBorder="1"/>
    <xf numFmtId="0" fontId="14" fillId="2" borderId="25" xfId="0" applyFont="1" applyFill="1" applyBorder="1"/>
    <xf numFmtId="165" fontId="3" fillId="0" borderId="16" xfId="0" applyNumberFormat="1" applyFont="1" applyBorder="1"/>
    <xf numFmtId="0" fontId="13" fillId="0" borderId="34" xfId="0" applyFont="1" applyBorder="1"/>
    <xf numFmtId="0" fontId="0" fillId="0" borderId="67" xfId="0" applyBorder="1"/>
    <xf numFmtId="0" fontId="0" fillId="0" borderId="47" xfId="0" applyBorder="1" applyProtection="1">
      <protection locked="0"/>
    </xf>
    <xf numFmtId="0" fontId="0" fillId="14" borderId="70" xfId="0" applyFill="1" applyBorder="1" applyProtection="1">
      <protection locked="0"/>
    </xf>
    <xf numFmtId="0" fontId="0" fillId="0" borderId="0" xfId="0" applyAlignment="1">
      <alignment wrapText="1" readingOrder="1"/>
    </xf>
    <xf numFmtId="0" fontId="16" fillId="0" borderId="0" xfId="0" applyFont="1" applyAlignment="1">
      <alignment horizontal="left" wrapText="1" readingOrder="1"/>
    </xf>
    <xf numFmtId="0" fontId="16" fillId="0" borderId="0" xfId="0" applyFont="1" applyAlignment="1">
      <alignment wrapText="1" readingOrder="1"/>
    </xf>
    <xf numFmtId="0" fontId="1" fillId="0" borderId="0" xfId="0" applyFont="1"/>
    <xf numFmtId="0" fontId="1" fillId="2" borderId="16" xfId="0" applyFont="1" applyFill="1" applyBorder="1" applyAlignment="1">
      <alignment horizontal="left"/>
    </xf>
    <xf numFmtId="0" fontId="1" fillId="4" borderId="16" xfId="0" applyFont="1" applyFill="1" applyBorder="1"/>
    <xf numFmtId="0" fontId="1" fillId="4" borderId="16" xfId="0" applyFont="1" applyFill="1" applyBorder="1" applyAlignment="1">
      <alignment horizontal="left"/>
    </xf>
    <xf numFmtId="0" fontId="1" fillId="0" borderId="16" xfId="0" applyFont="1" applyBorder="1"/>
    <xf numFmtId="0" fontId="0" fillId="0" borderId="66" xfId="0" applyBorder="1" applyProtection="1">
      <protection locked="0"/>
    </xf>
    <xf numFmtId="0" fontId="0" fillId="0" borderId="70" xfId="0" applyBorder="1" applyProtection="1">
      <protection locked="0"/>
    </xf>
    <xf numFmtId="0" fontId="0" fillId="0" borderId="78" xfId="0" applyBorder="1" applyProtection="1">
      <protection locked="0"/>
    </xf>
    <xf numFmtId="0" fontId="1" fillId="0" borderId="36" xfId="0" applyFont="1" applyBorder="1"/>
    <xf numFmtId="0" fontId="0" fillId="0" borderId="46" xfId="0" applyBorder="1" applyProtection="1">
      <protection locked="0"/>
    </xf>
    <xf numFmtId="0" fontId="0" fillId="0" borderId="101" xfId="0" applyBorder="1" applyProtection="1">
      <protection locked="0"/>
    </xf>
    <xf numFmtId="0" fontId="0" fillId="0" borderId="68" xfId="0" applyBorder="1" applyProtection="1">
      <protection locked="0"/>
    </xf>
    <xf numFmtId="3" fontId="0" fillId="2" borderId="18" xfId="0" applyNumberFormat="1" applyFill="1" applyBorder="1"/>
    <xf numFmtId="3" fontId="0" fillId="2" borderId="45" xfId="0" applyNumberFormat="1" applyFill="1" applyBorder="1"/>
    <xf numFmtId="3" fontId="0" fillId="2" borderId="27" xfId="0" applyNumberFormat="1" applyFill="1" applyBorder="1"/>
    <xf numFmtId="3" fontId="0" fillId="2" borderId="72" xfId="0" applyNumberFormat="1" applyFill="1" applyBorder="1"/>
    <xf numFmtId="0" fontId="3" fillId="4" borderId="36" xfId="0" applyFont="1" applyFill="1" applyBorder="1" applyAlignment="1">
      <alignment horizontal="left" indent="2"/>
    </xf>
    <xf numFmtId="3" fontId="0" fillId="0" borderId="17" xfId="0" applyNumberFormat="1" applyBorder="1" applyProtection="1">
      <protection locked="0"/>
    </xf>
    <xf numFmtId="3" fontId="0" fillId="0" borderId="12" xfId="0" applyNumberFormat="1" applyBorder="1" applyProtection="1">
      <protection locked="0"/>
    </xf>
    <xf numFmtId="3" fontId="0" fillId="0" borderId="15" xfId="0" applyNumberFormat="1" applyBorder="1" applyProtection="1">
      <protection locked="0"/>
    </xf>
    <xf numFmtId="3" fontId="0" fillId="0" borderId="2" xfId="0" applyNumberFormat="1" applyBorder="1" applyProtection="1">
      <protection locked="0"/>
    </xf>
    <xf numFmtId="3" fontId="6" fillId="2" borderId="76" xfId="0" applyNumberFormat="1" applyFont="1" applyFill="1" applyBorder="1"/>
    <xf numFmtId="3" fontId="6" fillId="2" borderId="12" xfId="0" applyNumberFormat="1" applyFont="1" applyFill="1" applyBorder="1"/>
    <xf numFmtId="3" fontId="6" fillId="2" borderId="17" xfId="0" applyNumberFormat="1" applyFont="1" applyFill="1" applyBorder="1"/>
    <xf numFmtId="3" fontId="6" fillId="2" borderId="77" xfId="0" applyNumberFormat="1" applyFont="1" applyFill="1" applyBorder="1"/>
    <xf numFmtId="0" fontId="1" fillId="0" borderId="0" xfId="3"/>
    <xf numFmtId="3" fontId="1" fillId="0" borderId="77" xfId="3" applyNumberFormat="1" applyBorder="1"/>
    <xf numFmtId="3" fontId="1" fillId="0" borderId="79" xfId="3" applyNumberFormat="1" applyBorder="1"/>
    <xf numFmtId="3" fontId="1" fillId="0" borderId="76" xfId="3" applyNumberFormat="1" applyBorder="1"/>
    <xf numFmtId="0" fontId="1" fillId="0" borderId="0" xfId="3" applyAlignment="1">
      <alignment horizontal="right"/>
    </xf>
    <xf numFmtId="3" fontId="1" fillId="0" borderId="0" xfId="3" applyNumberFormat="1"/>
    <xf numFmtId="3" fontId="1" fillId="0" borderId="18" xfId="3" applyNumberFormat="1" applyBorder="1"/>
    <xf numFmtId="3" fontId="1" fillId="0" borderId="13" xfId="3" applyNumberFormat="1" applyBorder="1"/>
    <xf numFmtId="3" fontId="1" fillId="0" borderId="61" xfId="3" applyNumberFormat="1" applyBorder="1"/>
    <xf numFmtId="0" fontId="4" fillId="0" borderId="0" xfId="3" applyFont="1"/>
    <xf numFmtId="3" fontId="1" fillId="0" borderId="15" xfId="3" applyNumberFormat="1" applyBorder="1"/>
    <xf numFmtId="3" fontId="1" fillId="0" borderId="10" xfId="3" applyNumberFormat="1" applyBorder="1"/>
    <xf numFmtId="3" fontId="1" fillId="0" borderId="2" xfId="3" applyNumberFormat="1" applyBorder="1"/>
    <xf numFmtId="4" fontId="1" fillId="0" borderId="0" xfId="3" applyNumberFormat="1"/>
    <xf numFmtId="10" fontId="1" fillId="0" borderId="10" xfId="3" applyNumberFormat="1" applyBorder="1"/>
    <xf numFmtId="10" fontId="1" fillId="0" borderId="2" xfId="3" applyNumberFormat="1" applyBorder="1"/>
    <xf numFmtId="0" fontId="4" fillId="0" borderId="0" xfId="3" applyFont="1" applyAlignment="1">
      <alignment horizontal="right"/>
    </xf>
    <xf numFmtId="0" fontId="1" fillId="0" borderId="77" xfId="3" applyBorder="1"/>
    <xf numFmtId="0" fontId="1" fillId="0" borderId="79" xfId="3" applyBorder="1"/>
    <xf numFmtId="0" fontId="1" fillId="0" borderId="76" xfId="3" applyBorder="1"/>
    <xf numFmtId="0" fontId="32" fillId="0" borderId="0" xfId="3" applyFont="1" applyAlignment="1">
      <alignment horizontal="left" vertical="top"/>
    </xf>
    <xf numFmtId="0" fontId="33" fillId="0" borderId="0" xfId="3" applyFont="1" applyAlignment="1">
      <alignment horizontal="right" vertical="top"/>
    </xf>
    <xf numFmtId="14" fontId="1" fillId="0" borderId="0" xfId="3" applyNumberFormat="1"/>
    <xf numFmtId="165" fontId="0" fillId="0" borderId="0" xfId="0" applyNumberFormat="1"/>
    <xf numFmtId="3" fontId="0" fillId="2" borderId="69" xfId="0" applyNumberFormat="1" applyFill="1" applyBorder="1"/>
    <xf numFmtId="3" fontId="0" fillId="2" borderId="74" xfId="0" applyNumberFormat="1" applyFill="1" applyBorder="1"/>
    <xf numFmtId="3" fontId="0" fillId="2" borderId="60" xfId="0" applyNumberFormat="1" applyFill="1" applyBorder="1" applyAlignment="1">
      <alignment horizontal="right"/>
    </xf>
    <xf numFmtId="3" fontId="0" fillId="2" borderId="37" xfId="0" applyNumberFormat="1" applyFill="1" applyBorder="1"/>
    <xf numFmtId="3" fontId="0" fillId="2" borderId="72" xfId="0" applyNumberFormat="1" applyFill="1" applyBorder="1" applyAlignment="1">
      <alignment horizontal="right"/>
    </xf>
    <xf numFmtId="3" fontId="0" fillId="2" borderId="64" xfId="0" applyNumberFormat="1" applyFill="1" applyBorder="1" applyAlignment="1">
      <alignment horizontal="right"/>
    </xf>
    <xf numFmtId="3" fontId="1" fillId="0" borderId="0" xfId="0" applyNumberFormat="1" applyFont="1"/>
    <xf numFmtId="0" fontId="1" fillId="0" borderId="6" xfId="0" applyFont="1" applyBorder="1" applyProtection="1">
      <protection locked="0"/>
    </xf>
    <xf numFmtId="3" fontId="0" fillId="0" borderId="0" xfId="0" applyNumberFormat="1" applyAlignment="1">
      <alignment horizontal="right"/>
    </xf>
    <xf numFmtId="0" fontId="4" fillId="0" borderId="1" xfId="0" applyFont="1" applyBorder="1" applyAlignment="1">
      <alignment horizontal="center"/>
    </xf>
    <xf numFmtId="0" fontId="34" fillId="0" borderId="0" xfId="0" applyFont="1" applyProtection="1">
      <protection hidden="1"/>
    </xf>
    <xf numFmtId="165" fontId="35" fillId="0" borderId="0" xfId="0" applyNumberFormat="1" applyFont="1" applyProtection="1">
      <protection hidden="1"/>
    </xf>
    <xf numFmtId="0" fontId="34" fillId="0" borderId="0" xfId="0" applyFont="1" applyAlignment="1">
      <alignment horizontal="center" wrapText="1"/>
    </xf>
    <xf numFmtId="0" fontId="35" fillId="0" borderId="0" xfId="0" applyFont="1"/>
    <xf numFmtId="0" fontId="35" fillId="0" borderId="0" xfId="0" applyFont="1" applyAlignment="1">
      <alignment horizontal="right"/>
    </xf>
    <xf numFmtId="0" fontId="0" fillId="0" borderId="48" xfId="0" applyBorder="1" applyProtection="1">
      <protection locked="0"/>
    </xf>
    <xf numFmtId="0" fontId="3" fillId="0" borderId="16" xfId="0" applyFont="1" applyBorder="1" applyAlignment="1">
      <alignment horizontal="left" indent="2"/>
    </xf>
    <xf numFmtId="0" fontId="39" fillId="0" borderId="0" xfId="0" applyFont="1"/>
    <xf numFmtId="3" fontId="1" fillId="2" borderId="6" xfId="0" applyNumberFormat="1" applyFont="1" applyFill="1" applyBorder="1"/>
    <xf numFmtId="3" fontId="1" fillId="2" borderId="10" xfId="0" applyNumberFormat="1" applyFont="1" applyFill="1" applyBorder="1"/>
    <xf numFmtId="3" fontId="1" fillId="2" borderId="13" xfId="0" applyNumberFormat="1" applyFont="1" applyFill="1" applyBorder="1"/>
    <xf numFmtId="0" fontId="38" fillId="0" borderId="0" xfId="3" applyFont="1"/>
    <xf numFmtId="0" fontId="35" fillId="0" borderId="0" xfId="3" applyFont="1"/>
    <xf numFmtId="0" fontId="36" fillId="0" borderId="0" xfId="3" applyFont="1"/>
    <xf numFmtId="3" fontId="35" fillId="0" borderId="0" xfId="3" applyNumberFormat="1" applyFont="1"/>
    <xf numFmtId="0" fontId="31" fillId="0" borderId="0" xfId="3" applyFont="1"/>
    <xf numFmtId="0" fontId="29" fillId="0" borderId="0" xfId="3" applyFont="1"/>
    <xf numFmtId="0" fontId="29" fillId="0" borderId="102" xfId="3" applyFont="1" applyBorder="1"/>
    <xf numFmtId="0" fontId="29" fillId="0" borderId="36" xfId="3" applyFont="1" applyBorder="1"/>
    <xf numFmtId="0" fontId="29" fillId="0" borderId="37" xfId="3" applyFont="1" applyBorder="1"/>
    <xf numFmtId="0" fontId="29" fillId="0" borderId="26" xfId="3" applyFont="1" applyBorder="1"/>
    <xf numFmtId="0" fontId="29" fillId="0" borderId="45" xfId="3" applyFont="1" applyBorder="1"/>
    <xf numFmtId="0" fontId="29" fillId="0" borderId="25" xfId="3" applyFont="1" applyBorder="1"/>
    <xf numFmtId="0" fontId="29" fillId="0" borderId="35" xfId="3" applyFont="1" applyBorder="1"/>
    <xf numFmtId="0" fontId="1" fillId="0" borderId="16" xfId="0" applyFont="1" applyBorder="1" applyAlignment="1">
      <alignment horizontal="left"/>
    </xf>
    <xf numFmtId="0" fontId="3" fillId="0" borderId="16" xfId="0" applyFont="1" applyBorder="1" applyAlignment="1">
      <alignment horizontal="left"/>
    </xf>
    <xf numFmtId="0" fontId="3" fillId="0" borderId="36" xfId="0" applyFont="1" applyBorder="1" applyAlignment="1">
      <alignment horizontal="left"/>
    </xf>
    <xf numFmtId="0" fontId="1" fillId="0" borderId="27" xfId="0" applyFont="1" applyBorder="1" applyAlignment="1">
      <alignment horizontal="left" indent="2"/>
    </xf>
    <xf numFmtId="0" fontId="3" fillId="0" borderId="9" xfId="0" applyFont="1" applyBorder="1" applyAlignment="1">
      <alignment horizontal="left"/>
    </xf>
    <xf numFmtId="0" fontId="1" fillId="0" borderId="9" xfId="0" applyFont="1" applyBorder="1" applyAlignment="1">
      <alignment horizontal="left"/>
    </xf>
    <xf numFmtId="0" fontId="1" fillId="0" borderId="9" xfId="0" applyFont="1" applyBorder="1"/>
    <xf numFmtId="0" fontId="3" fillId="0" borderId="9" xfId="0" applyFont="1" applyBorder="1"/>
    <xf numFmtId="0" fontId="3" fillId="0" borderId="7" xfId="0" applyFont="1" applyBorder="1" applyAlignment="1">
      <alignment horizontal="left"/>
    </xf>
    <xf numFmtId="0" fontId="4" fillId="2" borderId="4" xfId="0" applyFont="1" applyFill="1" applyBorder="1"/>
    <xf numFmtId="0" fontId="12" fillId="2" borderId="105" xfId="0" applyFont="1" applyFill="1" applyBorder="1" applyAlignment="1">
      <alignment horizontal="right"/>
    </xf>
    <xf numFmtId="0" fontId="12" fillId="2" borderId="79" xfId="0" applyFont="1" applyFill="1" applyBorder="1" applyAlignment="1">
      <alignment horizontal="right"/>
    </xf>
    <xf numFmtId="0" fontId="12" fillId="2" borderId="106" xfId="0" applyFont="1" applyFill="1" applyBorder="1" applyAlignment="1">
      <alignment horizontal="right"/>
    </xf>
    <xf numFmtId="0" fontId="12" fillId="2" borderId="4" xfId="0" applyFont="1" applyFill="1" applyBorder="1" applyAlignment="1">
      <alignment horizontal="right"/>
    </xf>
    <xf numFmtId="0" fontId="3" fillId="0" borderId="51" xfId="0" applyFont="1" applyBorder="1"/>
    <xf numFmtId="165" fontId="0" fillId="0" borderId="35" xfId="0" applyNumberFormat="1" applyBorder="1"/>
    <xf numFmtId="165" fontId="0" fillId="0" borderId="8" xfId="0" applyNumberFormat="1" applyBorder="1"/>
    <xf numFmtId="165" fontId="0" fillId="0" borderId="45" xfId="0" applyNumberFormat="1" applyBorder="1"/>
    <xf numFmtId="165" fontId="0" fillId="0" borderId="7" xfId="0" applyNumberFormat="1" applyBorder="1"/>
    <xf numFmtId="165" fontId="0" fillId="0" borderId="27" xfId="0" applyNumberFormat="1" applyBorder="1"/>
    <xf numFmtId="165" fontId="0" fillId="0" borderId="9" xfId="0" applyNumberFormat="1" applyBorder="1"/>
    <xf numFmtId="165" fontId="0" fillId="0" borderId="36" xfId="0" applyNumberFormat="1" applyBorder="1"/>
    <xf numFmtId="165" fontId="0" fillId="0" borderId="22" xfId="0" applyNumberFormat="1" applyBorder="1"/>
    <xf numFmtId="165" fontId="0" fillId="0" borderId="103" xfId="0" applyNumberFormat="1" applyBorder="1"/>
    <xf numFmtId="165" fontId="0" fillId="0" borderId="51" xfId="0" applyNumberFormat="1" applyBorder="1"/>
    <xf numFmtId="165" fontId="4" fillId="2" borderId="105" xfId="0" applyNumberFormat="1" applyFont="1" applyFill="1" applyBorder="1"/>
    <xf numFmtId="165" fontId="4" fillId="2" borderId="4" xfId="0" applyNumberFormat="1" applyFont="1" applyFill="1" applyBorder="1"/>
    <xf numFmtId="3" fontId="1" fillId="0" borderId="20" xfId="0" applyNumberFormat="1" applyFont="1" applyBorder="1" applyProtection="1">
      <protection locked="0"/>
    </xf>
    <xf numFmtId="3" fontId="1" fillId="0" borderId="17" xfId="0" applyNumberFormat="1" applyFont="1" applyBorder="1" applyProtection="1">
      <protection locked="0"/>
    </xf>
    <xf numFmtId="3" fontId="1" fillId="0" borderId="16" xfId="0" applyNumberFormat="1" applyFont="1" applyBorder="1" applyProtection="1">
      <protection locked="0"/>
    </xf>
    <xf numFmtId="3" fontId="1" fillId="0" borderId="15" xfId="0" applyNumberFormat="1" applyFont="1" applyBorder="1" applyProtection="1">
      <protection locked="0"/>
    </xf>
    <xf numFmtId="3" fontId="1" fillId="0" borderId="35" xfId="0" applyNumberFormat="1" applyFont="1" applyBorder="1" applyProtection="1">
      <protection locked="0"/>
    </xf>
    <xf numFmtId="3" fontId="1" fillId="0" borderId="19" xfId="0" applyNumberFormat="1" applyFont="1" applyBorder="1" applyProtection="1">
      <protection locked="0"/>
    </xf>
    <xf numFmtId="0" fontId="30" fillId="0" borderId="103" xfId="3" applyFont="1" applyBorder="1"/>
    <xf numFmtId="0" fontId="29" fillId="0" borderId="37" xfId="3" applyFont="1" applyBorder="1" applyAlignment="1">
      <alignment horizontal="left" indent="2"/>
    </xf>
    <xf numFmtId="0" fontId="40" fillId="0" borderId="0" xfId="4" applyAlignment="1">
      <alignment horizontal="left" indent="2"/>
    </xf>
    <xf numFmtId="0" fontId="30" fillId="0" borderId="37" xfId="3" applyFont="1" applyBorder="1" applyAlignment="1">
      <alignment horizontal="left"/>
    </xf>
    <xf numFmtId="0" fontId="0" fillId="0" borderId="48" xfId="0" applyBorder="1"/>
    <xf numFmtId="165" fontId="4" fillId="2" borderId="24" xfId="0" applyNumberFormat="1" applyFont="1" applyFill="1" applyBorder="1"/>
    <xf numFmtId="0" fontId="3" fillId="16" borderId="9" xfId="0" applyFont="1" applyFill="1" applyBorder="1"/>
    <xf numFmtId="165" fontId="0" fillId="16" borderId="16" xfId="0" applyNumberFormat="1" applyFill="1" applyBorder="1"/>
    <xf numFmtId="165" fontId="0" fillId="16" borderId="10" xfId="0" applyNumberFormat="1" applyFill="1" applyBorder="1"/>
    <xf numFmtId="165" fontId="0" fillId="16" borderId="27" xfId="0" applyNumberFormat="1" applyFill="1" applyBorder="1"/>
    <xf numFmtId="165" fontId="0" fillId="16" borderId="9" xfId="0" applyNumberFormat="1" applyFill="1" applyBorder="1"/>
    <xf numFmtId="0" fontId="38" fillId="0" borderId="0" xfId="0" applyFont="1"/>
    <xf numFmtId="10" fontId="41" fillId="0" borderId="0" xfId="0" applyNumberFormat="1" applyFont="1"/>
    <xf numFmtId="10" fontId="41" fillId="0" borderId="0" xfId="2" applyNumberFormat="1" applyFont="1" applyFill="1"/>
    <xf numFmtId="0" fontId="1" fillId="0" borderId="66" xfId="0" applyFont="1" applyBorder="1"/>
    <xf numFmtId="0" fontId="0" fillId="0" borderId="0" xfId="0" applyAlignment="1">
      <alignment horizontal="center"/>
    </xf>
    <xf numFmtId="3" fontId="0" fillId="0" borderId="8" xfId="0" applyNumberFormat="1" applyBorder="1" applyProtection="1">
      <protection locked="0"/>
    </xf>
    <xf numFmtId="0" fontId="0" fillId="2" borderId="99" xfId="0" applyFill="1" applyBorder="1"/>
    <xf numFmtId="0" fontId="42" fillId="16" borderId="6" xfId="0" applyFont="1" applyFill="1" applyBorder="1"/>
    <xf numFmtId="0" fontId="42" fillId="16" borderId="8" xfId="0" applyFont="1" applyFill="1" applyBorder="1"/>
    <xf numFmtId="0" fontId="42" fillId="16" borderId="8" xfId="0" applyFont="1" applyFill="1" applyBorder="1" applyAlignment="1">
      <alignment horizontal="right"/>
    </xf>
    <xf numFmtId="0" fontId="42" fillId="16" borderId="10" xfId="0" applyFont="1" applyFill="1" applyBorder="1" applyAlignment="1">
      <alignment horizontal="right"/>
    </xf>
    <xf numFmtId="0" fontId="42" fillId="16" borderId="10" xfId="0" applyFont="1" applyFill="1" applyBorder="1"/>
    <xf numFmtId="0" fontId="42" fillId="16" borderId="13" xfId="0" applyFont="1" applyFill="1" applyBorder="1"/>
    <xf numFmtId="0" fontId="0" fillId="0" borderId="14" xfId="0" applyBorder="1" applyProtection="1">
      <protection locked="0"/>
    </xf>
    <xf numFmtId="0" fontId="0" fillId="0" borderId="52" xfId="0" applyBorder="1"/>
    <xf numFmtId="0" fontId="14" fillId="2" borderId="0" xfId="0" applyFont="1" applyFill="1" applyAlignment="1">
      <alignment horizontal="right"/>
    </xf>
    <xf numFmtId="0" fontId="4" fillId="2" borderId="0" xfId="0" applyFont="1" applyFill="1" applyAlignment="1">
      <alignment horizontal="right"/>
    </xf>
    <xf numFmtId="0" fontId="1" fillId="0" borderId="10" xfId="0" applyFont="1" applyBorder="1" applyProtection="1">
      <protection locked="0"/>
    </xf>
    <xf numFmtId="0" fontId="1" fillId="0" borderId="21" xfId="0" applyFont="1" applyBorder="1" applyProtection="1">
      <protection locked="0"/>
    </xf>
    <xf numFmtId="0" fontId="0" fillId="16" borderId="6" xfId="0" applyFill="1" applyBorder="1"/>
    <xf numFmtId="0" fontId="0" fillId="16" borderId="8" xfId="0" applyFill="1" applyBorder="1"/>
    <xf numFmtId="0" fontId="0" fillId="16" borderId="8" xfId="0" applyFill="1" applyBorder="1" applyAlignment="1">
      <alignment horizontal="right"/>
    </xf>
    <xf numFmtId="0" fontId="0" fillId="16" borderId="10" xfId="0" applyFill="1" applyBorder="1" applyAlignment="1">
      <alignment horizontal="right"/>
    </xf>
    <xf numFmtId="0" fontId="0" fillId="16" borderId="10" xfId="0" applyFill="1" applyBorder="1"/>
    <xf numFmtId="0" fontId="0" fillId="16" borderId="13" xfId="0" applyFill="1" applyBorder="1"/>
    <xf numFmtId="0" fontId="1" fillId="0" borderId="10" xfId="0" applyFont="1" applyBorder="1" applyAlignment="1" applyProtection="1">
      <alignment horizontal="right"/>
      <protection locked="0"/>
    </xf>
    <xf numFmtId="2" fontId="35" fillId="0" borderId="0" xfId="0" applyNumberFormat="1" applyFont="1"/>
    <xf numFmtId="0" fontId="0" fillId="0" borderId="107" xfId="0" applyBorder="1"/>
    <xf numFmtId="2" fontId="4" fillId="0" borderId="34" xfId="0" applyNumberFormat="1" applyFont="1" applyBorder="1" applyAlignment="1">
      <alignment horizontal="right"/>
    </xf>
    <xf numFmtId="1" fontId="1" fillId="0" borderId="10" xfId="0" applyNumberFormat="1" applyFont="1" applyBorder="1"/>
    <xf numFmtId="1" fontId="4" fillId="0" borderId="10" xfId="0" applyNumberFormat="1" applyFont="1" applyBorder="1"/>
    <xf numFmtId="1" fontId="0" fillId="2" borderId="0" xfId="0" applyNumberFormat="1" applyFill="1"/>
    <xf numFmtId="1" fontId="0" fillId="2" borderId="26" xfId="0" applyNumberFormat="1" applyFill="1" applyBorder="1"/>
    <xf numFmtId="1" fontId="12" fillId="2" borderId="0" xfId="0" applyNumberFormat="1" applyFont="1" applyFill="1" applyAlignment="1">
      <alignment horizontal="center"/>
    </xf>
    <xf numFmtId="1" fontId="12" fillId="2" borderId="25" xfId="0" applyNumberFormat="1" applyFont="1" applyFill="1" applyBorder="1" applyAlignment="1">
      <alignment horizontal="center"/>
    </xf>
    <xf numFmtId="1" fontId="12" fillId="2" borderId="16" xfId="0" applyNumberFormat="1" applyFont="1" applyFill="1" applyBorder="1" applyAlignment="1">
      <alignment horizontal="center"/>
    </xf>
    <xf numFmtId="1" fontId="12" fillId="2" borderId="0" xfId="0" applyNumberFormat="1" applyFont="1" applyFill="1" applyAlignment="1">
      <alignment horizontal="right"/>
    </xf>
    <xf numFmtId="1" fontId="12" fillId="2" borderId="26" xfId="0" applyNumberFormat="1" applyFont="1" applyFill="1" applyBorder="1" applyAlignment="1">
      <alignment horizontal="right"/>
    </xf>
    <xf numFmtId="1" fontId="4" fillId="0" borderId="28" xfId="0" applyNumberFormat="1" applyFont="1" applyBorder="1"/>
    <xf numFmtId="0" fontId="1" fillId="0" borderId="5" xfId="0" applyFont="1" applyBorder="1"/>
    <xf numFmtId="0" fontId="1" fillId="0" borderId="20" xfId="0" applyFont="1" applyBorder="1" applyAlignment="1">
      <alignment horizontal="right"/>
    </xf>
    <xf numFmtId="0" fontId="1" fillId="0" borderId="0" xfId="0" applyFont="1" applyAlignment="1">
      <alignment vertical="top"/>
    </xf>
    <xf numFmtId="0" fontId="43" fillId="0" borderId="54" xfId="0" applyFont="1" applyBorder="1" applyAlignment="1">
      <alignment vertical="center" wrapText="1"/>
    </xf>
    <xf numFmtId="0" fontId="43" fillId="0" borderId="99" xfId="0" applyFont="1" applyBorder="1" applyAlignment="1">
      <alignment vertical="center" wrapText="1"/>
    </xf>
    <xf numFmtId="0" fontId="44" fillId="17" borderId="59" xfId="0" applyFont="1" applyFill="1" applyBorder="1" applyAlignment="1">
      <alignment vertical="center" wrapText="1"/>
    </xf>
    <xf numFmtId="0" fontId="44" fillId="17" borderId="4" xfId="0" applyFont="1" applyFill="1" applyBorder="1" applyAlignment="1">
      <alignment vertical="center" wrapText="1"/>
    </xf>
    <xf numFmtId="49" fontId="16" fillId="0" borderId="0" xfId="0" applyNumberFormat="1" applyFont="1" applyAlignment="1">
      <alignment horizontal="right" vertical="top" wrapText="1" readingOrder="1"/>
    </xf>
    <xf numFmtId="0" fontId="0" fillId="0" borderId="47" xfId="0" applyBorder="1"/>
    <xf numFmtId="0" fontId="0" fillId="0" borderId="10" xfId="0" applyBorder="1"/>
    <xf numFmtId="0" fontId="0" fillId="0" borderId="13" xfId="0" applyBorder="1"/>
    <xf numFmtId="0" fontId="0" fillId="0" borderId="2" xfId="0" applyBorder="1"/>
    <xf numFmtId="0" fontId="0" fillId="0" borderId="61" xfId="0" applyBorder="1"/>
    <xf numFmtId="0" fontId="0" fillId="0" borderId="12" xfId="0" applyBorder="1"/>
    <xf numFmtId="0" fontId="0" fillId="0" borderId="6" xfId="0" applyBorder="1"/>
    <xf numFmtId="0" fontId="0" fillId="0" borderId="15" xfId="0" applyBorder="1"/>
    <xf numFmtId="0" fontId="43" fillId="0" borderId="0" xfId="0" applyFont="1" applyAlignment="1">
      <alignment vertical="center" wrapText="1"/>
    </xf>
    <xf numFmtId="0" fontId="44" fillId="17" borderId="46" xfId="0" applyFont="1" applyFill="1" applyBorder="1" applyAlignment="1">
      <alignment vertical="center" wrapText="1"/>
    </xf>
    <xf numFmtId="0" fontId="0" fillId="0" borderId="18" xfId="0" applyBorder="1"/>
    <xf numFmtId="0" fontId="0" fillId="0" borderId="17" xfId="0" applyBorder="1"/>
    <xf numFmtId="0" fontId="44" fillId="17" borderId="60" xfId="0" applyFont="1" applyFill="1" applyBorder="1" applyAlignment="1">
      <alignment vertical="center" wrapText="1"/>
    </xf>
    <xf numFmtId="14" fontId="1" fillId="0" borderId="0" xfId="0" applyNumberFormat="1" applyFont="1"/>
    <xf numFmtId="10" fontId="0" fillId="19" borderId="0" xfId="0" applyNumberFormat="1" applyFill="1"/>
    <xf numFmtId="10" fontId="39" fillId="0" borderId="0" xfId="0" applyNumberFormat="1" applyFont="1"/>
    <xf numFmtId="0" fontId="0" fillId="0" borderId="27" xfId="0" applyBorder="1"/>
    <xf numFmtId="0" fontId="0" fillId="0" borderId="47" xfId="0" applyBorder="1"/>
    <xf numFmtId="0" fontId="1" fillId="0" borderId="27" xfId="0" applyFont="1" applyBorder="1"/>
    <xf numFmtId="0" fontId="19" fillId="0" borderId="0" xfId="0" applyFont="1" applyAlignment="1">
      <alignment wrapText="1" readingOrder="1"/>
    </xf>
    <xf numFmtId="0" fontId="0" fillId="0" borderId="0" xfId="0" applyAlignment="1">
      <alignment horizontal="left" wrapText="1" readingOrder="1"/>
    </xf>
    <xf numFmtId="0" fontId="15" fillId="0" borderId="1" xfId="0" applyFont="1" applyBorder="1" applyAlignment="1">
      <alignment wrapText="1" readingOrder="1"/>
    </xf>
    <xf numFmtId="0" fontId="16" fillId="0" borderId="1" xfId="0" applyFont="1" applyBorder="1" applyAlignment="1">
      <alignment wrapText="1" readingOrder="1"/>
    </xf>
    <xf numFmtId="0" fontId="16" fillId="0" borderId="0" xfId="0" applyFont="1" applyAlignment="1">
      <alignment vertical="top" wrapText="1" readingOrder="1"/>
    </xf>
    <xf numFmtId="0" fontId="0" fillId="0" borderId="0" xfId="0" applyAlignment="1">
      <alignment vertical="top" wrapText="1" readingOrder="1"/>
    </xf>
    <xf numFmtId="0" fontId="0" fillId="0" borderId="0" xfId="0"/>
    <xf numFmtId="0" fontId="15" fillId="0" borderId="0" xfId="0" applyFont="1" applyAlignment="1">
      <alignment wrapText="1" readingOrder="1"/>
    </xf>
    <xf numFmtId="0" fontId="16" fillId="0" borderId="0" xfId="0" applyFont="1" applyAlignment="1">
      <alignment wrapText="1" readingOrder="1"/>
    </xf>
    <xf numFmtId="0" fontId="0" fillId="0" borderId="69" xfId="0" applyBorder="1"/>
    <xf numFmtId="0" fontId="0" fillId="0" borderId="104" xfId="0" applyBorder="1"/>
    <xf numFmtId="0" fontId="0" fillId="0" borderId="0" xfId="0" applyAlignment="1">
      <alignment wrapText="1" readingOrder="1"/>
    </xf>
    <xf numFmtId="0" fontId="19" fillId="0" borderId="0" xfId="0" applyFont="1" applyAlignment="1">
      <alignment horizontal="center" wrapText="1" readingOrder="1"/>
    </xf>
    <xf numFmtId="0" fontId="16" fillId="0" borderId="0" xfId="0" applyFont="1" applyAlignment="1">
      <alignment horizontal="center" wrapText="1" readingOrder="1"/>
    </xf>
    <xf numFmtId="0" fontId="16" fillId="10" borderId="0" xfId="0" applyFont="1" applyFill="1" applyAlignment="1">
      <alignment wrapText="1" readingOrder="1"/>
    </xf>
    <xf numFmtId="0" fontId="16" fillId="2" borderId="0" xfId="0" applyFont="1" applyFill="1" applyAlignment="1">
      <alignment wrapText="1" readingOrder="1"/>
    </xf>
    <xf numFmtId="0" fontId="16" fillId="6" borderId="0" xfId="0" applyFont="1" applyFill="1" applyAlignment="1">
      <alignment wrapText="1" readingOrder="1"/>
    </xf>
    <xf numFmtId="0" fontId="0" fillId="0" borderId="27" xfId="0" applyBorder="1" applyProtection="1">
      <protection locked="0"/>
    </xf>
    <xf numFmtId="0" fontId="0" fillId="0" borderId="48" xfId="0" applyBorder="1" applyProtection="1">
      <protection locked="0"/>
    </xf>
    <xf numFmtId="0" fontId="0" fillId="0" borderId="16" xfId="0" applyBorder="1" applyProtection="1">
      <protection locked="0"/>
    </xf>
    <xf numFmtId="0" fontId="0" fillId="0" borderId="6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2" xfId="0" applyBorder="1" applyProtection="1">
      <protection locked="0"/>
    </xf>
    <xf numFmtId="0" fontId="0" fillId="0" borderId="15" xfId="0" applyBorder="1" applyProtection="1">
      <protection locked="0"/>
    </xf>
    <xf numFmtId="0" fontId="0" fillId="0" borderId="70" xfId="0" applyBorder="1" applyProtection="1">
      <protection locked="0"/>
    </xf>
    <xf numFmtId="0" fontId="0" fillId="0" borderId="104" xfId="0" applyBorder="1" applyProtection="1">
      <protection locked="0"/>
    </xf>
    <xf numFmtId="0" fontId="4" fillId="0" borderId="0" xfId="0" applyFont="1" applyAlignment="1">
      <alignment horizontal="center" wrapText="1"/>
    </xf>
    <xf numFmtId="0" fontId="4" fillId="0" borderId="0" xfId="0" applyFont="1" applyAlignment="1">
      <alignment wrapText="1"/>
    </xf>
    <xf numFmtId="0" fontId="0" fillId="0" borderId="12" xfId="0" applyBorder="1" applyProtection="1">
      <protection locked="0"/>
    </xf>
    <xf numFmtId="0" fontId="0" fillId="0" borderId="17" xfId="0" applyBorder="1" applyProtection="1">
      <protection locked="0"/>
    </xf>
    <xf numFmtId="0" fontId="0" fillId="0" borderId="67" xfId="0" applyBorder="1"/>
    <xf numFmtId="0" fontId="0" fillId="0" borderId="68" xfId="0" applyBorder="1"/>
    <xf numFmtId="0" fontId="4" fillId="0" borderId="0" xfId="0" applyFont="1" applyAlignment="1">
      <alignment horizontal="left"/>
    </xf>
    <xf numFmtId="0" fontId="1" fillId="0" borderId="66" xfId="0" applyFont="1" applyBorder="1"/>
    <xf numFmtId="0" fontId="0" fillId="0" borderId="48" xfId="0" applyBorder="1"/>
    <xf numFmtId="0" fontId="0" fillId="0" borderId="16" xfId="0" applyBorder="1"/>
    <xf numFmtId="0" fontId="1" fillId="0" borderId="66" xfId="0" applyFont="1" applyBorder="1" applyAlignment="1">
      <alignment horizontal="left"/>
    </xf>
    <xf numFmtId="0" fontId="0" fillId="0" borderId="48" xfId="0" applyBorder="1" applyAlignment="1">
      <alignment horizontal="left"/>
    </xf>
    <xf numFmtId="0" fontId="0" fillId="0" borderId="16" xfId="0" applyBorder="1" applyAlignment="1">
      <alignment horizontal="left"/>
    </xf>
    <xf numFmtId="0" fontId="0" fillId="0" borderId="66" xfId="0" applyBorder="1" applyProtection="1">
      <protection locked="0"/>
    </xf>
    <xf numFmtId="0" fontId="0" fillId="0" borderId="47" xfId="0" applyBorder="1" applyProtection="1">
      <protection locked="0"/>
    </xf>
    <xf numFmtId="0" fontId="0" fillId="0" borderId="69" xfId="0" applyBorder="1" applyProtection="1">
      <protection locked="0"/>
    </xf>
    <xf numFmtId="0" fontId="0" fillId="0" borderId="65" xfId="0" applyBorder="1" applyProtection="1">
      <protection locked="0"/>
    </xf>
    <xf numFmtId="0" fontId="0" fillId="0" borderId="20" xfId="0" applyBorder="1" applyProtection="1">
      <protection locked="0"/>
    </xf>
    <xf numFmtId="0" fontId="4" fillId="0" borderId="0" xfId="0" applyFont="1" applyAlignment="1">
      <alignment vertical="center"/>
    </xf>
    <xf numFmtId="0" fontId="0" fillId="0" borderId="66" xfId="0" applyBorder="1"/>
    <xf numFmtId="0" fontId="0" fillId="0" borderId="16" xfId="0" applyBorder="1" applyAlignment="1">
      <alignment horizontal="right"/>
    </xf>
    <xf numFmtId="0" fontId="4" fillId="0" borderId="0" xfId="0" applyFont="1" applyAlignment="1">
      <alignment horizontal="right"/>
    </xf>
    <xf numFmtId="0" fontId="4" fillId="0" borderId="14" xfId="0" applyFont="1" applyBorder="1" applyAlignment="1">
      <alignment horizontal="right"/>
    </xf>
    <xf numFmtId="0" fontId="4" fillId="0" borderId="63" xfId="0" applyFont="1" applyBorder="1"/>
    <xf numFmtId="0" fontId="4" fillId="0" borderId="0" xfId="0" applyFont="1"/>
    <xf numFmtId="0" fontId="0" fillId="0" borderId="0" xfId="0" applyAlignment="1">
      <alignment horizontal="right"/>
    </xf>
    <xf numFmtId="0" fontId="0" fillId="0" borderId="14" xfId="0" applyBorder="1" applyAlignment="1">
      <alignment horizontal="right"/>
    </xf>
    <xf numFmtId="0" fontId="1" fillId="0" borderId="2" xfId="0" applyFont="1" applyBorder="1"/>
    <xf numFmtId="0" fontId="0" fillId="0" borderId="10" xfId="0" applyBorder="1"/>
    <xf numFmtId="0" fontId="1" fillId="0" borderId="61" xfId="0" applyFont="1" applyBorder="1"/>
    <xf numFmtId="0" fontId="0" fillId="0" borderId="13" xfId="0" applyBorder="1"/>
    <xf numFmtId="0" fontId="1" fillId="0" borderId="48" xfId="0" applyFont="1" applyBorder="1" applyAlignment="1">
      <alignment horizontal="left"/>
    </xf>
    <xf numFmtId="0" fontId="4" fillId="0" borderId="1" xfId="0" applyFont="1" applyBorder="1" applyAlignment="1">
      <alignment horizontal="left" wrapText="1"/>
    </xf>
    <xf numFmtId="0" fontId="0" fillId="8" borderId="55" xfId="0" applyFill="1" applyBorder="1" applyAlignment="1">
      <alignment wrapText="1"/>
    </xf>
    <xf numFmtId="0" fontId="0" fillId="0" borderId="11" xfId="0" applyBorder="1"/>
    <xf numFmtId="0" fontId="0" fillId="0" borderId="46" xfId="0" applyBorder="1"/>
    <xf numFmtId="0" fontId="0" fillId="0" borderId="63" xfId="0" applyBorder="1"/>
    <xf numFmtId="0" fontId="0" fillId="0" borderId="14" xfId="0" applyBorder="1"/>
    <xf numFmtId="0" fontId="0" fillId="0" borderId="64" xfId="0" applyBorder="1"/>
    <xf numFmtId="0" fontId="0" fillId="0" borderId="1" xfId="0" applyBorder="1"/>
    <xf numFmtId="0" fontId="0" fillId="0" borderId="54" xfId="0" applyBorder="1"/>
    <xf numFmtId="0" fontId="21" fillId="8" borderId="55" xfId="0" applyFont="1" applyFill="1" applyBorder="1" applyAlignment="1">
      <alignment horizontal="center" vertical="top"/>
    </xf>
    <xf numFmtId="0" fontId="21" fillId="8" borderId="11" xfId="0" applyFont="1" applyFill="1" applyBorder="1" applyAlignment="1">
      <alignment horizontal="center" vertical="top"/>
    </xf>
    <xf numFmtId="0" fontId="21" fillId="8" borderId="46" xfId="0" applyFont="1" applyFill="1" applyBorder="1" applyAlignment="1">
      <alignment horizontal="center" vertical="top"/>
    </xf>
    <xf numFmtId="0" fontId="21" fillId="8" borderId="64" xfId="0" applyFont="1" applyFill="1" applyBorder="1" applyAlignment="1">
      <alignment horizontal="center" vertical="top"/>
    </xf>
    <xf numFmtId="0" fontId="21" fillId="8" borderId="1" xfId="0" applyFont="1" applyFill="1" applyBorder="1" applyAlignment="1">
      <alignment horizontal="center" vertical="top"/>
    </xf>
    <xf numFmtId="0" fontId="21" fillId="8" borderId="54" xfId="0" applyFont="1" applyFill="1" applyBorder="1" applyAlignment="1">
      <alignment horizontal="center" vertical="top"/>
    </xf>
    <xf numFmtId="0" fontId="2" fillId="0" borderId="0" xfId="0" applyFont="1" applyAlignment="1">
      <alignment horizontal="center"/>
    </xf>
    <xf numFmtId="0" fontId="4" fillId="0" borderId="11" xfId="0" applyFont="1" applyBorder="1"/>
    <xf numFmtId="0" fontId="4" fillId="0" borderId="0" xfId="0" applyFont="1" applyAlignment="1">
      <alignment horizontal="center" vertical="center"/>
    </xf>
    <xf numFmtId="0" fontId="4" fillId="0" borderId="0" xfId="0" applyFont="1" applyAlignment="1">
      <alignment horizontal="right" vertical="top"/>
    </xf>
    <xf numFmtId="0" fontId="4" fillId="0" borderId="11" xfId="0" applyFont="1" applyBorder="1" applyAlignment="1">
      <alignment horizontal="right"/>
    </xf>
    <xf numFmtId="0" fontId="4" fillId="0" borderId="46" xfId="0" applyFont="1" applyBorder="1" applyAlignment="1">
      <alignment horizontal="right"/>
    </xf>
    <xf numFmtId="0" fontId="1" fillId="18" borderId="0" xfId="0" applyFont="1" applyFill="1"/>
    <xf numFmtId="0" fontId="0" fillId="18" borderId="0" xfId="0" applyFill="1"/>
    <xf numFmtId="0" fontId="1" fillId="0" borderId="70" xfId="0" applyFont="1" applyBorder="1"/>
    <xf numFmtId="0" fontId="0" fillId="0" borderId="65" xfId="0" applyBorder="1"/>
    <xf numFmtId="0" fontId="0" fillId="0" borderId="20" xfId="0" applyBorder="1"/>
    <xf numFmtId="0" fontId="0" fillId="0" borderId="72" xfId="0" applyBorder="1" applyProtection="1">
      <protection locked="0"/>
    </xf>
    <xf numFmtId="0" fontId="0" fillId="0" borderId="75" xfId="0" applyBorder="1" applyProtection="1">
      <protection locked="0"/>
    </xf>
    <xf numFmtId="0" fontId="0" fillId="0" borderId="73" xfId="0" applyBorder="1" applyProtection="1">
      <protection locked="0"/>
    </xf>
    <xf numFmtId="0" fontId="1" fillId="0" borderId="48" xfId="0" applyFont="1" applyBorder="1"/>
    <xf numFmtId="0" fontId="1" fillId="0" borderId="16" xfId="0" applyFont="1" applyBorder="1"/>
    <xf numFmtId="0" fontId="0" fillId="8" borderId="11" xfId="0" applyFill="1" applyBorder="1" applyAlignment="1">
      <alignment wrapText="1"/>
    </xf>
    <xf numFmtId="0" fontId="0" fillId="8" borderId="46" xfId="0" applyFill="1" applyBorder="1" applyAlignment="1">
      <alignment wrapText="1"/>
    </xf>
    <xf numFmtId="0" fontId="0" fillId="8" borderId="63" xfId="0" applyFill="1" applyBorder="1" applyAlignment="1">
      <alignment wrapText="1"/>
    </xf>
    <xf numFmtId="0" fontId="0" fillId="8" borderId="0" xfId="0" applyFill="1" applyAlignment="1">
      <alignment wrapText="1"/>
    </xf>
    <xf numFmtId="0" fontId="0" fillId="8" borderId="14" xfId="0" applyFill="1" applyBorder="1" applyAlignment="1">
      <alignment wrapText="1"/>
    </xf>
    <xf numFmtId="0" fontId="0" fillId="8" borderId="64" xfId="0" applyFill="1" applyBorder="1" applyAlignment="1">
      <alignment wrapText="1"/>
    </xf>
    <xf numFmtId="0" fontId="0" fillId="8" borderId="1" xfId="0" applyFill="1" applyBorder="1" applyAlignment="1">
      <alignment wrapText="1"/>
    </xf>
    <xf numFmtId="0" fontId="0" fillId="8" borderId="54" xfId="0" applyFill="1" applyBorder="1" applyAlignment="1">
      <alignment wrapText="1"/>
    </xf>
    <xf numFmtId="0" fontId="4" fillId="0" borderId="55" xfId="0" applyFont="1" applyBorder="1"/>
    <xf numFmtId="0" fontId="0" fillId="0" borderId="11" xfId="0" applyBorder="1" applyAlignment="1">
      <alignment horizontal="right"/>
    </xf>
    <xf numFmtId="0" fontId="0" fillId="0" borderId="46" xfId="0" applyBorder="1" applyAlignment="1">
      <alignment horizontal="right"/>
    </xf>
    <xf numFmtId="0" fontId="0" fillId="0" borderId="2" xfId="0" applyBorder="1"/>
    <xf numFmtId="0" fontId="0" fillId="0" borderId="61" xfId="0" applyBorder="1"/>
    <xf numFmtId="0" fontId="0" fillId="0" borderId="48" xfId="0" applyBorder="1" applyAlignment="1" applyProtection="1">
      <alignment horizontal="center"/>
      <protection locked="0"/>
    </xf>
    <xf numFmtId="0" fontId="0" fillId="15" borderId="66" xfId="0" applyFill="1" applyBorder="1" applyAlignment="1" applyProtection="1">
      <alignment horizontal="center"/>
      <protection locked="0"/>
    </xf>
    <xf numFmtId="0" fontId="0" fillId="15" borderId="48" xfId="0" applyFill="1" applyBorder="1" applyAlignment="1" applyProtection="1">
      <alignment horizontal="center"/>
      <protection locked="0"/>
    </xf>
    <xf numFmtId="0" fontId="0" fillId="15" borderId="47" xfId="0" applyFill="1" applyBorder="1" applyAlignment="1" applyProtection="1">
      <alignment horizontal="center"/>
      <protection locked="0"/>
    </xf>
    <xf numFmtId="0" fontId="0" fillId="0" borderId="70" xfId="0" applyBorder="1" applyAlignment="1" applyProtection="1">
      <alignment horizontal="center"/>
      <protection locked="0"/>
    </xf>
    <xf numFmtId="0" fontId="0" fillId="0" borderId="65" xfId="0" applyBorder="1" applyAlignment="1" applyProtection="1">
      <alignment horizontal="center"/>
      <protection locked="0"/>
    </xf>
    <xf numFmtId="0" fontId="0" fillId="0" borderId="104" xfId="0" applyBorder="1" applyAlignment="1" applyProtection="1">
      <alignment horizontal="center"/>
      <protection locked="0"/>
    </xf>
    <xf numFmtId="3" fontId="1" fillId="2" borderId="66" xfId="0" applyNumberFormat="1" applyFont="1" applyFill="1" applyBorder="1" applyAlignment="1">
      <alignment horizontal="right"/>
    </xf>
    <xf numFmtId="3" fontId="1" fillId="2" borderId="47" xfId="0" applyNumberFormat="1" applyFont="1" applyFill="1" applyBorder="1" applyAlignment="1">
      <alignment horizontal="right"/>
    </xf>
    <xf numFmtId="0" fontId="0" fillId="2" borderId="66"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0" fillId="2" borderId="47" xfId="0" applyFill="1" applyBorder="1" applyAlignment="1" applyProtection="1">
      <alignment horizontal="center"/>
      <protection locked="0"/>
    </xf>
    <xf numFmtId="0" fontId="4" fillId="0" borderId="0" xfId="0" applyFont="1" applyAlignment="1">
      <alignment horizontal="center"/>
    </xf>
    <xf numFmtId="3" fontId="0" fillId="2" borderId="60" xfId="0" applyNumberFormat="1" applyFill="1" applyBorder="1" applyAlignment="1">
      <alignment horizontal="right"/>
    </xf>
    <xf numFmtId="3" fontId="0" fillId="2" borderId="59" xfId="0" applyNumberFormat="1" applyFill="1" applyBorder="1" applyAlignment="1">
      <alignment horizontal="right"/>
    </xf>
    <xf numFmtId="3" fontId="0" fillId="2" borderId="67" xfId="0" applyNumberFormat="1" applyFill="1" applyBorder="1" applyAlignment="1">
      <alignment horizontal="right"/>
    </xf>
    <xf numFmtId="3" fontId="0" fillId="2" borderId="68" xfId="0" applyNumberFormat="1" applyFill="1" applyBorder="1" applyAlignment="1">
      <alignment horizontal="right"/>
    </xf>
    <xf numFmtId="0" fontId="0" fillId="2" borderId="67" xfId="0" applyFill="1" applyBorder="1" applyAlignment="1">
      <alignment horizontal="center"/>
    </xf>
    <xf numFmtId="0" fontId="0" fillId="2" borderId="75" xfId="0" applyFill="1" applyBorder="1" applyAlignment="1">
      <alignment horizontal="center"/>
    </xf>
    <xf numFmtId="0" fontId="0" fillId="2" borderId="68" xfId="0" applyFill="1" applyBorder="1" applyAlignment="1">
      <alignment horizontal="center"/>
    </xf>
    <xf numFmtId="3" fontId="0" fillId="2" borderId="66" xfId="0" applyNumberFormat="1" applyFill="1" applyBorder="1" applyAlignment="1">
      <alignment horizontal="right"/>
    </xf>
    <xf numFmtId="3" fontId="0" fillId="2" borderId="47" xfId="0" applyNumberFormat="1" applyFill="1" applyBorder="1" applyAlignment="1">
      <alignment horizontal="right"/>
    </xf>
    <xf numFmtId="3" fontId="6" fillId="2" borderId="67" xfId="0" applyNumberFormat="1" applyFont="1" applyFill="1" applyBorder="1" applyAlignment="1">
      <alignment horizontal="right"/>
    </xf>
    <xf numFmtId="3" fontId="6" fillId="2" borderId="68" xfId="0" applyNumberFormat="1" applyFont="1" applyFill="1" applyBorder="1" applyAlignment="1">
      <alignment horizontal="right"/>
    </xf>
    <xf numFmtId="3" fontId="6" fillId="15" borderId="67" xfId="0" applyNumberFormat="1" applyFont="1" applyFill="1" applyBorder="1" applyAlignment="1">
      <alignment horizontal="right"/>
    </xf>
    <xf numFmtId="3" fontId="6" fillId="15" borderId="68" xfId="0" applyNumberFormat="1" applyFont="1" applyFill="1" applyBorder="1" applyAlignment="1">
      <alignment horizontal="right"/>
    </xf>
    <xf numFmtId="3" fontId="0" fillId="15" borderId="66" xfId="0" applyNumberFormat="1" applyFill="1" applyBorder="1" applyAlignment="1">
      <alignment horizontal="right"/>
    </xf>
    <xf numFmtId="3" fontId="0" fillId="15" borderId="47" xfId="0" applyNumberFormat="1" applyFill="1" applyBorder="1" applyAlignment="1">
      <alignment horizontal="right"/>
    </xf>
    <xf numFmtId="3" fontId="0" fillId="0" borderId="2" xfId="0" applyNumberFormat="1" applyBorder="1" applyAlignment="1" applyProtection="1">
      <alignment horizontal="right"/>
      <protection locked="0"/>
    </xf>
    <xf numFmtId="3" fontId="0" fillId="0" borderId="15" xfId="0" applyNumberFormat="1" applyBorder="1" applyAlignment="1" applyProtection="1">
      <alignment horizontal="right"/>
      <protection locked="0"/>
    </xf>
    <xf numFmtId="3" fontId="0" fillId="2" borderId="60" xfId="0" applyNumberFormat="1" applyFill="1" applyBorder="1"/>
    <xf numFmtId="3" fontId="0" fillId="2" borderId="59" xfId="0" applyNumberFormat="1" applyFill="1" applyBorder="1"/>
    <xf numFmtId="3" fontId="0" fillId="3" borderId="12" xfId="0" applyNumberFormat="1" applyFill="1" applyBorder="1"/>
    <xf numFmtId="3" fontId="0" fillId="3" borderId="17" xfId="0" applyNumberFormat="1" applyFill="1" applyBorder="1"/>
    <xf numFmtId="3" fontId="0" fillId="3" borderId="2" xfId="0" applyNumberFormat="1" applyFill="1" applyBorder="1"/>
    <xf numFmtId="3" fontId="0" fillId="3" borderId="15" xfId="0" applyNumberFormat="1" applyFill="1" applyBorder="1"/>
    <xf numFmtId="3" fontId="0" fillId="3" borderId="56" xfId="0" applyNumberFormat="1" applyFill="1" applyBorder="1"/>
    <xf numFmtId="3" fontId="0" fillId="3" borderId="58" xfId="0" applyNumberFormat="1" applyFill="1" applyBorder="1"/>
    <xf numFmtId="3" fontId="0" fillId="2" borderId="2" xfId="0" applyNumberFormat="1" applyFill="1" applyBorder="1"/>
    <xf numFmtId="3" fontId="0" fillId="2" borderId="15" xfId="0" applyNumberFormat="1" applyFill="1" applyBorder="1"/>
    <xf numFmtId="0" fontId="0" fillId="2" borderId="59" xfId="0" applyFill="1" applyBorder="1"/>
    <xf numFmtId="3" fontId="0" fillId="2" borderId="2" xfId="0" applyNumberFormat="1" applyFill="1" applyBorder="1" applyAlignment="1">
      <alignment horizontal="right"/>
    </xf>
    <xf numFmtId="3" fontId="0" fillId="2" borderId="15" xfId="0" applyNumberFormat="1" applyFill="1" applyBorder="1" applyAlignment="1">
      <alignment horizontal="right"/>
    </xf>
    <xf numFmtId="0" fontId="0" fillId="0" borderId="0" xfId="0" applyAlignment="1">
      <alignment horizontal="center"/>
    </xf>
    <xf numFmtId="0" fontId="0" fillId="0" borderId="10" xfId="0" applyBorder="1" applyProtection="1">
      <protection locked="0"/>
    </xf>
    <xf numFmtId="0" fontId="3" fillId="0" borderId="12" xfId="0" applyFont="1" applyBorder="1" applyProtection="1">
      <protection locked="0"/>
    </xf>
    <xf numFmtId="0" fontId="0" fillId="0" borderId="6" xfId="0" applyBorder="1" applyProtection="1">
      <protection locked="0"/>
    </xf>
    <xf numFmtId="3" fontId="0" fillId="0" borderId="12" xfId="0" applyNumberFormat="1" applyBorder="1" applyAlignment="1" applyProtection="1">
      <alignment horizontal="right"/>
      <protection locked="0"/>
    </xf>
    <xf numFmtId="3" fontId="0" fillId="0" borderId="17" xfId="0" applyNumberFormat="1" applyBorder="1" applyAlignment="1" applyProtection="1">
      <alignment horizontal="right"/>
      <protection locked="0"/>
    </xf>
    <xf numFmtId="0" fontId="0" fillId="0" borderId="61" xfId="0" applyBorder="1" applyProtection="1">
      <protection locked="0"/>
    </xf>
    <xf numFmtId="0" fontId="0" fillId="0" borderId="13" xfId="0" applyBorder="1" applyProtection="1">
      <protection locked="0"/>
    </xf>
    <xf numFmtId="3" fontId="0" fillId="0" borderId="66" xfId="0" applyNumberFormat="1" applyBorder="1" applyAlignment="1" applyProtection="1">
      <alignment horizontal="right"/>
      <protection locked="0"/>
    </xf>
    <xf numFmtId="3" fontId="0" fillId="0" borderId="47" xfId="0" applyNumberFormat="1" applyBorder="1" applyAlignment="1" applyProtection="1">
      <alignment horizontal="right"/>
      <protection locked="0"/>
    </xf>
    <xf numFmtId="0" fontId="0" fillId="0" borderId="12" xfId="0" applyBorder="1"/>
    <xf numFmtId="0" fontId="0" fillId="0" borderId="6" xfId="0" applyBorder="1"/>
    <xf numFmtId="3" fontId="0" fillId="0" borderId="23" xfId="0" applyNumberFormat="1" applyBorder="1" applyAlignment="1" applyProtection="1">
      <alignment horizontal="right"/>
      <protection locked="0"/>
    </xf>
    <xf numFmtId="3" fontId="0" fillId="0" borderId="19" xfId="0" applyNumberFormat="1" applyBorder="1" applyAlignment="1" applyProtection="1">
      <alignment horizontal="right"/>
      <protection locked="0"/>
    </xf>
    <xf numFmtId="0" fontId="0" fillId="0" borderId="75" xfId="0" applyBorder="1"/>
    <xf numFmtId="0" fontId="4" fillId="0" borderId="1" xfId="0" applyFont="1" applyBorder="1" applyAlignment="1">
      <alignment horizontal="center"/>
    </xf>
    <xf numFmtId="3" fontId="0" fillId="0" borderId="61" xfId="0" applyNumberFormat="1" applyBorder="1" applyAlignment="1" applyProtection="1">
      <alignment horizontal="right"/>
      <protection locked="0"/>
    </xf>
    <xf numFmtId="3" fontId="0" fillId="0" borderId="18" xfId="0" applyNumberFormat="1" applyBorder="1" applyAlignment="1" applyProtection="1">
      <alignment horizontal="right"/>
      <protection locked="0"/>
    </xf>
    <xf numFmtId="0" fontId="0" fillId="0" borderId="78" xfId="0" applyBorder="1"/>
    <xf numFmtId="0" fontId="0" fillId="0" borderId="25" xfId="0" applyBorder="1"/>
    <xf numFmtId="3" fontId="0" fillId="2" borderId="56" xfId="0" applyNumberFormat="1" applyFill="1" applyBorder="1" applyAlignment="1">
      <alignment horizontal="right"/>
    </xf>
    <xf numFmtId="3" fontId="0" fillId="2" borderId="58" xfId="0" applyNumberFormat="1" applyFill="1" applyBorder="1" applyAlignment="1">
      <alignment horizontal="right"/>
    </xf>
    <xf numFmtId="3" fontId="0" fillId="2" borderId="23" xfId="0" applyNumberFormat="1" applyFill="1" applyBorder="1" applyAlignment="1">
      <alignment horizontal="right"/>
    </xf>
    <xf numFmtId="3" fontId="0" fillId="2" borderId="19" xfId="0" applyNumberFormat="1" applyFill="1" applyBorder="1" applyAlignment="1">
      <alignment horizontal="right"/>
    </xf>
    <xf numFmtId="3" fontId="0" fillId="2" borderId="12" xfId="0" applyNumberFormat="1" applyFill="1" applyBorder="1" applyAlignment="1">
      <alignment horizontal="right"/>
    </xf>
    <xf numFmtId="3" fontId="0" fillId="2" borderId="17" xfId="0" applyNumberFormat="1" applyFill="1" applyBorder="1" applyAlignment="1">
      <alignment horizontal="right"/>
    </xf>
    <xf numFmtId="3" fontId="0" fillId="2" borderId="61" xfId="0" applyNumberFormat="1" applyFill="1" applyBorder="1" applyAlignment="1">
      <alignment horizontal="right"/>
    </xf>
    <xf numFmtId="3" fontId="0" fillId="2" borderId="18" xfId="0" applyNumberFormat="1" applyFill="1" applyBorder="1" applyAlignment="1">
      <alignment horizontal="right"/>
    </xf>
    <xf numFmtId="3" fontId="0" fillId="2" borderId="64" xfId="0" applyNumberFormat="1" applyFill="1" applyBorder="1"/>
    <xf numFmtId="3" fontId="0" fillId="2" borderId="54" xfId="0" applyNumberFormat="1" applyFill="1" applyBorder="1"/>
    <xf numFmtId="0" fontId="0" fillId="0" borderId="67" xfId="0" applyBorder="1" applyProtection="1">
      <protection locked="0"/>
    </xf>
    <xf numFmtId="3" fontId="3" fillId="2" borderId="60" xfId="0" applyNumberFormat="1" applyFont="1" applyFill="1" applyBorder="1"/>
    <xf numFmtId="3" fontId="3" fillId="2" borderId="59" xfId="0" applyNumberFormat="1" applyFont="1" applyFill="1" applyBorder="1"/>
    <xf numFmtId="3" fontId="0" fillId="2" borderId="72" xfId="0" applyNumberFormat="1" applyFill="1" applyBorder="1"/>
    <xf numFmtId="3" fontId="0" fillId="2" borderId="68" xfId="0" applyNumberFormat="1" applyFill="1" applyBorder="1"/>
    <xf numFmtId="3" fontId="0" fillId="3" borderId="71" xfId="0" applyNumberFormat="1" applyFill="1" applyBorder="1"/>
    <xf numFmtId="3" fontId="0" fillId="3" borderId="74" xfId="0" applyNumberFormat="1" applyFill="1" applyBorder="1"/>
    <xf numFmtId="3" fontId="0" fillId="2" borderId="27" xfId="0" applyNumberFormat="1" applyFill="1" applyBorder="1"/>
    <xf numFmtId="3" fontId="0" fillId="2" borderId="47" xfId="0" applyNumberFormat="1" applyFill="1" applyBorder="1"/>
    <xf numFmtId="3" fontId="0" fillId="3" borderId="16" xfId="0" applyNumberFormat="1" applyFill="1" applyBorder="1"/>
    <xf numFmtId="3" fontId="0" fillId="3" borderId="27" xfId="0" applyNumberFormat="1" applyFill="1" applyBorder="1"/>
    <xf numFmtId="164" fontId="1" fillId="0" borderId="27" xfId="2" applyNumberFormat="1" applyBorder="1" applyAlignment="1" applyProtection="1">
      <protection locked="0"/>
    </xf>
    <xf numFmtId="164" fontId="1" fillId="0" borderId="48" xfId="2" applyNumberFormat="1" applyBorder="1" applyAlignment="1" applyProtection="1">
      <protection locked="0"/>
    </xf>
    <xf numFmtId="164" fontId="1" fillId="0" borderId="16" xfId="2" applyNumberFormat="1" applyBorder="1" applyAlignment="1" applyProtection="1">
      <protection locked="0"/>
    </xf>
    <xf numFmtId="164" fontId="1" fillId="0" borderId="72" xfId="2" applyNumberFormat="1" applyBorder="1" applyAlignment="1" applyProtection="1">
      <protection locked="0"/>
    </xf>
    <xf numFmtId="164" fontId="1" fillId="0" borderId="75" xfId="2" applyNumberFormat="1" applyBorder="1" applyAlignment="1" applyProtection="1">
      <protection locked="0"/>
    </xf>
    <xf numFmtId="164" fontId="1" fillId="0" borderId="73" xfId="2" applyNumberFormat="1" applyBorder="1" applyAlignment="1" applyProtection="1">
      <protection locked="0"/>
    </xf>
    <xf numFmtId="3" fontId="0" fillId="2" borderId="6" xfId="0" applyNumberFormat="1" applyFill="1" applyBorder="1"/>
    <xf numFmtId="3" fontId="0" fillId="2" borderId="17" xfId="0" applyNumberFormat="1" applyFill="1" applyBorder="1"/>
    <xf numFmtId="3" fontId="0" fillId="2" borderId="20" xfId="0" applyNumberFormat="1" applyFill="1" applyBorder="1"/>
    <xf numFmtId="3" fontId="0" fillId="2" borderId="69" xfId="0" applyNumberFormat="1" applyFill="1" applyBorder="1"/>
    <xf numFmtId="164" fontId="1" fillId="0" borderId="69" xfId="2" applyNumberFormat="1" applyBorder="1" applyAlignment="1" applyProtection="1">
      <protection locked="0"/>
    </xf>
    <xf numFmtId="164" fontId="1" fillId="0" borderId="65" xfId="2" applyNumberFormat="1" applyBorder="1" applyAlignment="1" applyProtection="1">
      <protection locked="0"/>
    </xf>
    <xf numFmtId="164" fontId="1" fillId="0" borderId="20" xfId="2" applyNumberFormat="1" applyBorder="1" applyAlignment="1" applyProtection="1">
      <protection locked="0"/>
    </xf>
    <xf numFmtId="3" fontId="0" fillId="2" borderId="66" xfId="0" applyNumberFormat="1" applyFill="1" applyBorder="1"/>
    <xf numFmtId="3" fontId="0" fillId="2" borderId="56" xfId="0" applyNumberFormat="1" applyFill="1" applyBorder="1"/>
    <xf numFmtId="3" fontId="0" fillId="2" borderId="58" xfId="0" applyNumberFormat="1" applyFill="1" applyBorder="1"/>
    <xf numFmtId="0" fontId="3" fillId="0" borderId="66" xfId="0" applyFont="1" applyBorder="1"/>
    <xf numFmtId="0" fontId="0" fillId="0" borderId="78" xfId="0" applyBorder="1" applyProtection="1">
      <protection locked="0"/>
    </xf>
    <xf numFmtId="0" fontId="0" fillId="0" borderId="25" xfId="0" applyBorder="1" applyProtection="1">
      <protection locked="0"/>
    </xf>
    <xf numFmtId="0" fontId="0" fillId="0" borderId="70" xfId="0" applyBorder="1"/>
    <xf numFmtId="0" fontId="6" fillId="2" borderId="67" xfId="0" applyFont="1" applyFill="1" applyBorder="1" applyAlignment="1">
      <alignment horizontal="right"/>
    </xf>
    <xf numFmtId="0" fontId="6" fillId="2" borderId="68" xfId="0" applyFont="1" applyFill="1" applyBorder="1" applyAlignment="1">
      <alignment horizontal="right"/>
    </xf>
    <xf numFmtId="3" fontId="1" fillId="15" borderId="66" xfId="0" applyNumberFormat="1" applyFont="1" applyFill="1" applyBorder="1" applyAlignment="1">
      <alignment horizontal="right"/>
    </xf>
    <xf numFmtId="3" fontId="1" fillId="15" borderId="47" xfId="0" applyNumberFormat="1" applyFont="1" applyFill="1" applyBorder="1" applyAlignment="1">
      <alignment horizontal="right"/>
    </xf>
    <xf numFmtId="0" fontId="1" fillId="0" borderId="66" xfId="0" applyFont="1" applyBorder="1" applyProtection="1">
      <protection locked="0"/>
    </xf>
    <xf numFmtId="0" fontId="1" fillId="0" borderId="48" xfId="0" applyFont="1" applyBorder="1" applyProtection="1">
      <protection locked="0"/>
    </xf>
    <xf numFmtId="0" fontId="1" fillId="0" borderId="47" xfId="0" applyFont="1" applyBorder="1" applyProtection="1">
      <protection locked="0"/>
    </xf>
    <xf numFmtId="0" fontId="0" fillId="0" borderId="48" xfId="0" applyBorder="1" applyAlignment="1">
      <alignment horizontal="right"/>
    </xf>
    <xf numFmtId="165" fontId="0" fillId="0" borderId="48" xfId="0" applyNumberFormat="1" applyBorder="1" applyAlignment="1" applyProtection="1">
      <alignment horizontal="center"/>
      <protection locked="0"/>
    </xf>
    <xf numFmtId="165" fontId="0" fillId="0" borderId="47" xfId="0" applyNumberFormat="1" applyBorder="1" applyAlignment="1" applyProtection="1">
      <alignment horizontal="center"/>
      <protection locked="0"/>
    </xf>
    <xf numFmtId="0" fontId="4" fillId="0" borderId="2" xfId="0" applyFont="1" applyBorder="1"/>
    <xf numFmtId="0" fontId="4" fillId="0" borderId="10" xfId="0" applyFont="1" applyBorder="1"/>
    <xf numFmtId="0" fontId="4" fillId="0" borderId="15" xfId="0" applyFont="1" applyBorder="1"/>
    <xf numFmtId="0" fontId="0" fillId="0" borderId="15" xfId="0" applyBorder="1"/>
    <xf numFmtId="49" fontId="0" fillId="0" borderId="10" xfId="0" applyNumberFormat="1" applyBorder="1"/>
    <xf numFmtId="49" fontId="0" fillId="0" borderId="15" xfId="0" applyNumberFormat="1" applyBorder="1"/>
    <xf numFmtId="0" fontId="3" fillId="0" borderId="48" xfId="0" applyFont="1" applyBorder="1"/>
    <xf numFmtId="0" fontId="3" fillId="0" borderId="47" xfId="0" applyFont="1" applyBorder="1"/>
    <xf numFmtId="0" fontId="4" fillId="0" borderId="12" xfId="0" applyFont="1" applyBorder="1"/>
    <xf numFmtId="0" fontId="4" fillId="0" borderId="6" xfId="0" applyFont="1" applyBorder="1"/>
    <xf numFmtId="0" fontId="4" fillId="0" borderId="17" xfId="0" applyFont="1" applyBorder="1"/>
    <xf numFmtId="0" fontId="17" fillId="2" borderId="66" xfId="0" applyFont="1" applyFill="1" applyBorder="1"/>
    <xf numFmtId="0" fontId="17" fillId="2" borderId="48" xfId="0" applyFont="1" applyFill="1" applyBorder="1"/>
    <xf numFmtId="0" fontId="17" fillId="2" borderId="25" xfId="0" applyFont="1" applyFill="1" applyBorder="1"/>
    <xf numFmtId="0" fontId="17" fillId="2" borderId="78" xfId="0" applyFont="1" applyFill="1" applyBorder="1"/>
    <xf numFmtId="0" fontId="1" fillId="4" borderId="27" xfId="0" applyFont="1" applyFill="1" applyBorder="1" applyAlignment="1">
      <alignment horizontal="left" indent="1"/>
    </xf>
    <xf numFmtId="0" fontId="1" fillId="4" borderId="16" xfId="0" applyFont="1" applyFill="1" applyBorder="1" applyAlignment="1">
      <alignment horizontal="left" indent="1"/>
    </xf>
    <xf numFmtId="0" fontId="3" fillId="0" borderId="27" xfId="0" applyFont="1" applyBorder="1" applyAlignment="1">
      <alignment horizontal="left" indent="1"/>
    </xf>
    <xf numFmtId="0" fontId="3" fillId="0" borderId="16" xfId="0" applyFont="1" applyBorder="1" applyAlignment="1">
      <alignment horizontal="left" indent="1"/>
    </xf>
    <xf numFmtId="0" fontId="4" fillId="2" borderId="25" xfId="0" applyFont="1" applyFill="1" applyBorder="1"/>
    <xf numFmtId="0" fontId="3" fillId="4" borderId="16" xfId="0" applyFont="1" applyFill="1" applyBorder="1" applyAlignment="1">
      <alignment horizontal="left" indent="1"/>
    </xf>
    <xf numFmtId="0" fontId="3" fillId="4" borderId="27" xfId="0" applyFont="1" applyFill="1" applyBorder="1" applyAlignment="1">
      <alignment horizontal="left" indent="2"/>
    </xf>
    <xf numFmtId="0" fontId="3" fillId="4" borderId="16" xfId="0" applyFont="1" applyFill="1" applyBorder="1" applyAlignment="1">
      <alignment horizontal="left" indent="2"/>
    </xf>
    <xf numFmtId="0" fontId="4" fillId="2" borderId="80" xfId="0" applyFont="1" applyFill="1" applyBorder="1" applyAlignment="1">
      <alignment horizontal="left"/>
    </xf>
    <xf numFmtId="0" fontId="4" fillId="2" borderId="34" xfId="0" applyFont="1" applyFill="1" applyBorder="1" applyAlignment="1">
      <alignment horizontal="left"/>
    </xf>
    <xf numFmtId="0" fontId="4" fillId="2" borderId="80" xfId="0" applyFont="1" applyFill="1" applyBorder="1"/>
    <xf numFmtId="0" fontId="4" fillId="2" borderId="34" xfId="0" applyFont="1" applyFill="1" applyBorder="1"/>
    <xf numFmtId="0" fontId="15" fillId="2" borderId="0" xfId="0" applyFont="1" applyFill="1" applyAlignment="1">
      <alignment horizontal="left"/>
    </xf>
    <xf numFmtId="0" fontId="22" fillId="2" borderId="0" xfId="0" applyFont="1" applyFill="1" applyAlignment="1">
      <alignment horizontal="left"/>
    </xf>
    <xf numFmtId="0" fontId="1" fillId="0" borderId="27" xfId="0" applyFont="1" applyBorder="1" applyAlignment="1">
      <alignment horizontal="left" indent="2"/>
    </xf>
    <xf numFmtId="0" fontId="1" fillId="0" borderId="16" xfId="0" applyFont="1" applyBorder="1" applyAlignment="1">
      <alignment horizontal="left" indent="2"/>
    </xf>
    <xf numFmtId="0" fontId="4" fillId="2" borderId="35" xfId="0" applyFont="1" applyFill="1" applyBorder="1"/>
    <xf numFmtId="0" fontId="3" fillId="2" borderId="66" xfId="0" applyFont="1" applyFill="1" applyBorder="1"/>
    <xf numFmtId="0" fontId="3" fillId="2" borderId="16" xfId="0" applyFont="1" applyFill="1" applyBorder="1"/>
    <xf numFmtId="0" fontId="0" fillId="11" borderId="21" xfId="0" applyFill="1" applyBorder="1" applyAlignment="1">
      <alignment horizontal="left" vertical="top"/>
    </xf>
    <xf numFmtId="0" fontId="0" fillId="11" borderId="8" xfId="0" applyFill="1" applyBorder="1" applyAlignment="1">
      <alignment horizontal="left" vertical="top"/>
    </xf>
    <xf numFmtId="0" fontId="4" fillId="2" borderId="44" xfId="0" applyFont="1" applyFill="1" applyBorder="1"/>
    <xf numFmtId="0" fontId="4" fillId="2" borderId="32" xfId="0" applyFont="1" applyFill="1" applyBorder="1"/>
    <xf numFmtId="0" fontId="13" fillId="2" borderId="44" xfId="0" applyFont="1" applyFill="1" applyBorder="1" applyAlignment="1">
      <alignment horizontal="left" indent="3"/>
    </xf>
    <xf numFmtId="0" fontId="13" fillId="2" borderId="32" xfId="0" applyFont="1" applyFill="1" applyBorder="1" applyAlignment="1">
      <alignment horizontal="left" indent="3"/>
    </xf>
    <xf numFmtId="0" fontId="11" fillId="2" borderId="80" xfId="0" applyFont="1" applyFill="1" applyBorder="1"/>
    <xf numFmtId="0" fontId="11" fillId="2" borderId="34" xfId="0" applyFont="1" applyFill="1" applyBorder="1"/>
    <xf numFmtId="0" fontId="18" fillId="2" borderId="25" xfId="0" applyFont="1" applyFill="1" applyBorder="1"/>
    <xf numFmtId="0" fontId="1" fillId="4" borderId="27" xfId="0" applyFont="1" applyFill="1" applyBorder="1" applyAlignment="1">
      <alignment horizontal="left"/>
    </xf>
    <xf numFmtId="0" fontId="1" fillId="4" borderId="16" xfId="0" applyFont="1" applyFill="1" applyBorder="1" applyAlignment="1">
      <alignment horizontal="left"/>
    </xf>
    <xf numFmtId="0" fontId="4" fillId="2" borderId="27" xfId="0" applyFont="1" applyFill="1" applyBorder="1" applyAlignment="1">
      <alignment horizontal="left" indent="1"/>
    </xf>
    <xf numFmtId="0" fontId="4" fillId="2" borderId="48" xfId="0" applyFont="1" applyFill="1" applyBorder="1" applyAlignment="1">
      <alignment horizontal="left" indent="1"/>
    </xf>
    <xf numFmtId="0" fontId="9" fillId="0" borderId="0" xfId="0" applyFont="1" applyAlignment="1">
      <alignment horizontal="center" vertical="center"/>
    </xf>
    <xf numFmtId="0" fontId="10" fillId="0" borderId="0" xfId="0" applyFont="1"/>
    <xf numFmtId="0" fontId="14" fillId="2" borderId="27" xfId="0" applyFont="1" applyFill="1" applyBorder="1" applyAlignment="1">
      <alignment horizontal="left"/>
    </xf>
    <xf numFmtId="0" fontId="14" fillId="2" borderId="16" xfId="0" applyFont="1" applyFill="1" applyBorder="1" applyAlignment="1">
      <alignment horizontal="left"/>
    </xf>
    <xf numFmtId="0" fontId="14" fillId="2" borderId="40" xfId="0" applyFont="1" applyFill="1" applyBorder="1" applyAlignment="1">
      <alignment horizontal="left"/>
    </xf>
    <xf numFmtId="0" fontId="14" fillId="2" borderId="41" xfId="0" applyFont="1" applyFill="1" applyBorder="1" applyAlignment="1">
      <alignment horizontal="left"/>
    </xf>
    <xf numFmtId="0" fontId="15" fillId="2" borderId="0" xfId="0" applyFont="1" applyFill="1"/>
    <xf numFmtId="0" fontId="16" fillId="0" borderId="0" xfId="0" applyFont="1"/>
    <xf numFmtId="0" fontId="1" fillId="0" borderId="27" xfId="0" applyFont="1" applyBorder="1" applyAlignment="1">
      <alignment horizontal="left" indent="1"/>
    </xf>
    <xf numFmtId="0" fontId="1" fillId="0" borderId="16" xfId="0" applyFont="1" applyBorder="1" applyAlignment="1">
      <alignment horizontal="left" indent="1"/>
    </xf>
    <xf numFmtId="0" fontId="4" fillId="2" borderId="44" xfId="0" applyFont="1" applyFill="1" applyBorder="1" applyAlignment="1">
      <alignment horizontal="left" indent="1"/>
    </xf>
    <xf numFmtId="0" fontId="4" fillId="2" borderId="32" xfId="0" applyFont="1" applyFill="1" applyBorder="1" applyAlignment="1">
      <alignment horizontal="left" indent="1"/>
    </xf>
    <xf numFmtId="0" fontId="4" fillId="2" borderId="80" xfId="0" applyFont="1" applyFill="1" applyBorder="1" applyAlignment="1">
      <alignment horizontal="left" indent="1"/>
    </xf>
    <xf numFmtId="0" fontId="4" fillId="2" borderId="34" xfId="0" applyFont="1" applyFill="1" applyBorder="1" applyAlignment="1">
      <alignment horizontal="left" indent="1"/>
    </xf>
    <xf numFmtId="0" fontId="3" fillId="4" borderId="27" xfId="0" applyFont="1" applyFill="1" applyBorder="1" applyAlignment="1">
      <alignment horizontal="left"/>
    </xf>
    <xf numFmtId="0" fontId="3" fillId="4" borderId="16" xfId="0" applyFont="1" applyFill="1" applyBorder="1" applyAlignment="1">
      <alignment horizontal="left"/>
    </xf>
    <xf numFmtId="0" fontId="1" fillId="0" borderId="27" xfId="0" applyFont="1" applyBorder="1" applyAlignment="1">
      <alignment horizontal="left"/>
    </xf>
    <xf numFmtId="0" fontId="1" fillId="0" borderId="16" xfId="0" applyFont="1" applyBorder="1" applyAlignment="1">
      <alignment horizontal="left"/>
    </xf>
    <xf numFmtId="0" fontId="3" fillId="0" borderId="16" xfId="0" applyFont="1" applyBorder="1" applyAlignment="1">
      <alignment horizontal="left" indent="2"/>
    </xf>
    <xf numFmtId="165" fontId="3" fillId="0" borderId="27" xfId="0" applyNumberFormat="1" applyFont="1" applyBorder="1" applyAlignment="1">
      <alignment horizontal="left" indent="2"/>
    </xf>
    <xf numFmtId="165" fontId="3" fillId="0" borderId="16" xfId="0" applyNumberFormat="1" applyFont="1" applyBorder="1" applyAlignment="1">
      <alignment horizontal="left" indent="2"/>
    </xf>
    <xf numFmtId="0" fontId="3" fillId="4" borderId="27" xfId="0" applyFont="1" applyFill="1" applyBorder="1" applyAlignment="1">
      <alignment horizontal="left" indent="1"/>
    </xf>
    <xf numFmtId="0" fontId="18" fillId="2" borderId="0" xfId="0" applyFont="1" applyFill="1" applyAlignment="1">
      <alignment horizontal="left"/>
    </xf>
    <xf numFmtId="0" fontId="4" fillId="2" borderId="16" xfId="0" applyFont="1" applyFill="1" applyBorder="1" applyAlignment="1">
      <alignment horizontal="left" indent="1"/>
    </xf>
    <xf numFmtId="0" fontId="0" fillId="2" borderId="16" xfId="0" applyFill="1" applyBorder="1" applyAlignment="1">
      <alignment horizontal="left" indent="1"/>
    </xf>
    <xf numFmtId="0" fontId="4" fillId="2" borderId="81" xfId="0" applyFont="1" applyFill="1" applyBorder="1"/>
    <xf numFmtId="0" fontId="3" fillId="2" borderId="81" xfId="0" applyFont="1" applyFill="1" applyBorder="1"/>
    <xf numFmtId="0" fontId="3" fillId="2" borderId="34" xfId="0" applyFont="1" applyFill="1" applyBorder="1"/>
    <xf numFmtId="0" fontId="3" fillId="2" borderId="48" xfId="0" applyFont="1" applyFill="1" applyBorder="1" applyAlignment="1">
      <alignment horizontal="right"/>
    </xf>
    <xf numFmtId="0" fontId="4" fillId="2" borderId="78" xfId="0" applyFont="1" applyFill="1" applyBorder="1"/>
    <xf numFmtId="0" fontId="4" fillId="2" borderId="0" xfId="0" applyFont="1" applyFill="1"/>
    <xf numFmtId="0" fontId="17" fillId="2" borderId="0" xfId="0" applyFont="1" applyFill="1"/>
    <xf numFmtId="0" fontId="22" fillId="2" borderId="0" xfId="0" applyFont="1" applyFill="1"/>
    <xf numFmtId="0" fontId="4" fillId="2" borderId="25" xfId="0" applyFont="1" applyFill="1" applyBorder="1" applyAlignment="1">
      <alignment horizontal="left" indent="1"/>
    </xf>
    <xf numFmtId="0" fontId="37" fillId="0" borderId="0" xfId="3" applyFont="1" applyAlignment="1">
      <alignment wrapText="1"/>
    </xf>
    <xf numFmtId="0" fontId="37" fillId="0" borderId="0" xfId="3" applyFont="1"/>
    <xf numFmtId="0" fontId="37" fillId="0" borderId="0" xfId="3" applyFont="1" applyAlignment="1">
      <alignment vertical="top" wrapText="1"/>
    </xf>
    <xf numFmtId="3" fontId="1" fillId="0" borderId="2" xfId="3" applyNumberFormat="1" applyBorder="1" applyAlignment="1">
      <alignment horizontal="center"/>
    </xf>
    <xf numFmtId="3" fontId="1" fillId="0" borderId="10" xfId="3" applyNumberFormat="1" applyBorder="1" applyAlignment="1">
      <alignment horizontal="center"/>
    </xf>
    <xf numFmtId="3" fontId="1" fillId="0" borderId="15" xfId="3" applyNumberFormat="1" applyBorder="1" applyAlignment="1">
      <alignment horizontal="center"/>
    </xf>
    <xf numFmtId="0" fontId="32" fillId="0" borderId="0" xfId="3" applyFont="1" applyAlignment="1">
      <alignment horizontal="center" vertical="top"/>
    </xf>
    <xf numFmtId="0" fontId="4" fillId="0" borderId="0" xfId="3" applyFont="1"/>
    <xf numFmtId="0" fontId="1" fillId="0" borderId="12" xfId="3" applyBorder="1" applyAlignment="1">
      <alignment horizontal="center"/>
    </xf>
    <xf numFmtId="0" fontId="1" fillId="0" borderId="6" xfId="3" applyBorder="1" applyAlignment="1">
      <alignment horizontal="center"/>
    </xf>
    <xf numFmtId="0" fontId="1" fillId="0" borderId="17" xfId="3" applyBorder="1" applyAlignment="1">
      <alignment horizontal="center"/>
    </xf>
    <xf numFmtId="0" fontId="0" fillId="0" borderId="10" xfId="0" applyBorder="1" applyAlignment="1">
      <alignment vertical="center" wrapText="1"/>
    </xf>
    <xf numFmtId="165" fontId="0" fillId="0" borderId="10" xfId="0" applyNumberFormat="1" applyBorder="1" applyAlignment="1">
      <alignment vertical="center" wrapText="1"/>
    </xf>
    <xf numFmtId="0" fontId="3" fillId="0" borderId="10" xfId="0" applyFont="1" applyBorder="1" applyAlignment="1">
      <alignment vertical="center" wrapText="1"/>
    </xf>
    <xf numFmtId="0" fontId="18" fillId="0" borderId="0" xfId="0" applyFont="1" applyAlignment="1">
      <alignment horizontal="center" vertical="center" wrapText="1"/>
    </xf>
    <xf numFmtId="0" fontId="0" fillId="0" borderId="10" xfId="0" applyBorder="1" applyAlignment="1">
      <alignment horizontal="left" vertical="center" wrapText="1"/>
    </xf>
    <xf numFmtId="0" fontId="4" fillId="12" borderId="10" xfId="0" applyFont="1" applyFill="1" applyBorder="1" applyAlignment="1">
      <alignment horizontal="center" vertical="center" wrapText="1"/>
    </xf>
    <xf numFmtId="0" fontId="0" fillId="0" borderId="10" xfId="0" applyBorder="1" applyAlignment="1">
      <alignment horizontal="center" vertical="top" wrapText="1"/>
    </xf>
    <xf numFmtId="0" fontId="0" fillId="0" borderId="10" xfId="0" applyBorder="1" applyAlignment="1">
      <alignment horizontal="center" vertical="center" wrapText="1"/>
    </xf>
    <xf numFmtId="0" fontId="0" fillId="12" borderId="10" xfId="0" applyFill="1" applyBorder="1" applyAlignment="1">
      <alignment horizontal="center" vertical="center" wrapText="1"/>
    </xf>
    <xf numFmtId="49" fontId="3" fillId="0" borderId="10" xfId="0" applyNumberFormat="1" applyFont="1" applyBorder="1" applyAlignment="1">
      <alignment horizontal="center" vertical="center" wrapText="1"/>
    </xf>
    <xf numFmtId="49" fontId="4" fillId="12" borderId="10" xfId="0" applyNumberFormat="1" applyFont="1" applyFill="1" applyBorder="1" applyAlignment="1">
      <alignment horizontal="center" vertical="center" wrapText="1"/>
    </xf>
    <xf numFmtId="0" fontId="0" fillId="0" borderId="10" xfId="0" applyBorder="1" applyAlignment="1">
      <alignment vertical="center"/>
    </xf>
    <xf numFmtId="0" fontId="3" fillId="0" borderId="10" xfId="0" applyFont="1" applyBorder="1" applyAlignment="1">
      <alignment horizontal="center" vertical="center" wrapText="1"/>
    </xf>
    <xf numFmtId="0" fontId="0" fillId="12" borderId="10" xfId="0" applyFill="1" applyBorder="1" applyAlignment="1">
      <alignment vertical="center" wrapText="1"/>
    </xf>
    <xf numFmtId="0" fontId="23" fillId="0" borderId="55" xfId="0" applyFont="1" applyBorder="1" applyAlignment="1">
      <alignment vertical="center" wrapText="1"/>
    </xf>
    <xf numFmtId="0" fontId="23" fillId="0" borderId="11" xfId="0" applyFont="1" applyBorder="1" applyAlignment="1">
      <alignment vertical="center" wrapText="1"/>
    </xf>
    <xf numFmtId="0" fontId="23" fillId="0" borderId="93" xfId="0" applyFont="1" applyBorder="1" applyAlignment="1">
      <alignment vertical="center" wrapText="1"/>
    </xf>
    <xf numFmtId="0" fontId="23" fillId="0" borderId="63" xfId="0" applyFont="1" applyBorder="1" applyAlignment="1">
      <alignment vertical="center" wrapText="1"/>
    </xf>
    <xf numFmtId="0" fontId="23" fillId="0" borderId="0" xfId="0" applyFont="1" applyAlignment="1">
      <alignment vertical="center" wrapText="1"/>
    </xf>
    <xf numFmtId="0" fontId="23" fillId="0" borderId="87" xfId="0" applyFont="1" applyBorder="1" applyAlignment="1">
      <alignment vertical="center" wrapText="1"/>
    </xf>
    <xf numFmtId="0" fontId="23" fillId="0" borderId="64" xfId="0" applyFont="1" applyBorder="1" applyAlignment="1">
      <alignment vertical="center" wrapText="1"/>
    </xf>
    <xf numFmtId="0" fontId="23" fillId="0" borderId="1" xfId="0" applyFont="1" applyBorder="1" applyAlignment="1">
      <alignment vertical="center" wrapText="1"/>
    </xf>
    <xf numFmtId="0" fontId="23" fillId="0" borderId="88" xfId="0" applyFont="1" applyBorder="1" applyAlignment="1">
      <alignment vertical="center" wrapText="1"/>
    </xf>
    <xf numFmtId="0" fontId="24" fillId="0" borderId="92" xfId="0" applyFont="1" applyBorder="1" applyAlignment="1">
      <alignment vertical="center" wrapText="1"/>
    </xf>
    <xf numFmtId="0" fontId="24" fillId="0" borderId="11" xfId="0" applyFont="1" applyBorder="1" applyAlignment="1">
      <alignment vertical="center" wrapText="1"/>
    </xf>
    <xf numFmtId="0" fontId="23" fillId="0" borderId="83" xfId="0" applyFont="1" applyBorder="1" applyAlignment="1">
      <alignment vertical="center" wrapText="1"/>
    </xf>
    <xf numFmtId="0" fontId="23" fillId="0" borderId="84" xfId="0" applyFont="1" applyBorder="1" applyAlignment="1">
      <alignment vertical="center" wrapText="1"/>
    </xf>
    <xf numFmtId="0" fontId="23" fillId="0" borderId="0" xfId="0" applyFont="1"/>
    <xf numFmtId="0" fontId="23" fillId="0" borderId="87" xfId="0" applyFont="1" applyBorder="1"/>
    <xf numFmtId="10" fontId="23" fillId="0" borderId="25" xfId="0" applyNumberFormat="1" applyFont="1" applyBorder="1" applyAlignment="1" applyProtection="1">
      <alignment horizontal="center" vertical="center" wrapText="1"/>
      <protection locked="0"/>
    </xf>
    <xf numFmtId="0" fontId="23" fillId="0" borderId="96" xfId="0" applyFont="1" applyBorder="1" applyAlignment="1" applyProtection="1">
      <alignment horizontal="center" vertical="center" wrapText="1"/>
      <protection locked="0"/>
    </xf>
    <xf numFmtId="0" fontId="23" fillId="0" borderId="91" xfId="0" applyFont="1" applyBorder="1" applyAlignment="1">
      <alignment vertical="center" wrapText="1"/>
    </xf>
    <xf numFmtId="0" fontId="23" fillId="0" borderId="29" xfId="0" applyFont="1" applyBorder="1" applyAlignment="1">
      <alignment vertical="center" wrapText="1"/>
    </xf>
    <xf numFmtId="0" fontId="23" fillId="0" borderId="86" xfId="0" applyFont="1" applyBorder="1" applyAlignment="1">
      <alignment vertical="center" wrapText="1"/>
    </xf>
    <xf numFmtId="0" fontId="8" fillId="0" borderId="64" xfId="0" applyFont="1" applyBorder="1" applyAlignment="1">
      <alignment vertical="center" wrapText="1"/>
    </xf>
    <xf numFmtId="0" fontId="8" fillId="0" borderId="1" xfId="0" applyFont="1" applyBorder="1" applyAlignment="1">
      <alignment vertical="center" wrapText="1"/>
    </xf>
    <xf numFmtId="0" fontId="8" fillId="0" borderId="88" xfId="0" applyFont="1" applyBorder="1" applyAlignment="1">
      <alignment vertical="center" wrapText="1"/>
    </xf>
    <xf numFmtId="0" fontId="23" fillId="0" borderId="0" xfId="0" applyFont="1" applyAlignment="1">
      <alignment vertical="center"/>
    </xf>
    <xf numFmtId="0" fontId="23" fillId="0" borderId="25" xfId="0" applyFont="1" applyBorder="1" applyAlignment="1" applyProtection="1">
      <alignment vertical="center" wrapText="1"/>
      <protection locked="0"/>
    </xf>
    <xf numFmtId="14" fontId="23" fillId="0" borderId="25" xfId="0" applyNumberFormat="1"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14" fontId="23" fillId="0" borderId="25" xfId="0" applyNumberFormat="1"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8" fillId="0" borderId="8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5" fillId="0" borderId="82"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85"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vertical="center" wrapText="1"/>
    </xf>
    <xf numFmtId="0" fontId="24" fillId="0" borderId="87" xfId="0" applyFont="1" applyBorder="1" applyAlignment="1">
      <alignment vertical="center" wrapText="1"/>
    </xf>
    <xf numFmtId="0" fontId="24" fillId="0" borderId="83" xfId="0" applyFont="1" applyBorder="1" applyAlignment="1">
      <alignment horizontal="center" vertical="center" wrapText="1"/>
    </xf>
    <xf numFmtId="0" fontId="24" fillId="0" borderId="0" xfId="0" applyFont="1" applyAlignment="1">
      <alignment horizontal="center" vertical="center" wrapText="1"/>
    </xf>
    <xf numFmtId="0" fontId="24" fillId="0" borderId="87"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24" xfId="0" applyFont="1" applyBorder="1" applyAlignment="1">
      <alignment vertical="center" wrapText="1"/>
    </xf>
    <xf numFmtId="0" fontId="24" fillId="0" borderId="59" xfId="0" applyFont="1" applyBorder="1" applyAlignment="1">
      <alignment vertical="center" wrapText="1"/>
    </xf>
    <xf numFmtId="0" fontId="24" fillId="13" borderId="24" xfId="0" applyFont="1" applyFill="1" applyBorder="1" applyAlignment="1">
      <alignment vertical="center" wrapText="1"/>
    </xf>
    <xf numFmtId="0" fontId="24" fillId="13" borderId="59" xfId="0" applyFont="1" applyFill="1" applyBorder="1" applyAlignment="1">
      <alignment vertical="center" wrapText="1"/>
    </xf>
    <xf numFmtId="4" fontId="23" fillId="0" borderId="60" xfId="0" applyNumberFormat="1" applyFont="1" applyBorder="1" applyAlignment="1">
      <alignment vertical="center" wrapText="1"/>
    </xf>
    <xf numFmtId="4" fontId="23" fillId="0" borderId="100" xfId="0" applyNumberFormat="1" applyFont="1" applyBorder="1" applyAlignment="1">
      <alignment vertical="center" wrapText="1"/>
    </xf>
    <xf numFmtId="0" fontId="24" fillId="0" borderId="99" xfId="0" applyFont="1" applyBorder="1" applyAlignment="1">
      <alignment horizontal="center" vertical="center" wrapText="1"/>
    </xf>
    <xf numFmtId="0" fontId="24" fillId="0" borderId="95" xfId="0" applyFont="1" applyBorder="1" applyAlignment="1">
      <alignment horizontal="center" vertical="center" wrapText="1"/>
    </xf>
    <xf numFmtId="4" fontId="23" fillId="0" borderId="59" xfId="0" applyNumberFormat="1" applyFont="1" applyBorder="1" applyAlignment="1">
      <alignment vertical="center" wrapText="1"/>
    </xf>
    <xf numFmtId="4" fontId="23" fillId="13" borderId="60" xfId="0" applyNumberFormat="1" applyFont="1" applyFill="1" applyBorder="1" applyAlignment="1">
      <alignment vertical="center" wrapText="1"/>
    </xf>
    <xf numFmtId="4" fontId="23" fillId="13" borderId="100" xfId="0" applyNumberFormat="1" applyFont="1" applyFill="1" applyBorder="1" applyAlignment="1">
      <alignment vertical="center" wrapText="1"/>
    </xf>
    <xf numFmtId="4" fontId="23" fillId="13" borderId="59" xfId="0" applyNumberFormat="1" applyFont="1" applyFill="1" applyBorder="1" applyAlignment="1">
      <alignment vertical="center" wrapText="1"/>
    </xf>
    <xf numFmtId="4" fontId="24" fillId="13" borderId="60" xfId="0" applyNumberFormat="1" applyFont="1" applyFill="1" applyBorder="1" applyAlignment="1">
      <alignment vertical="center" wrapText="1"/>
    </xf>
    <xf numFmtId="4" fontId="24" fillId="13" borderId="59" xfId="0" applyNumberFormat="1" applyFont="1" applyFill="1" applyBorder="1" applyAlignment="1">
      <alignment vertical="center" wrapText="1"/>
    </xf>
    <xf numFmtId="0" fontId="23" fillId="0" borderId="0" xfId="0" applyFont="1" applyAlignment="1">
      <alignment horizontal="right" vertical="center" wrapText="1"/>
    </xf>
  </cellXfs>
  <cellStyles count="5">
    <cellStyle name="Comma" xfId="1" builtinId="3"/>
    <cellStyle name="Hyperlink" xfId="4" builtinId="8"/>
    <cellStyle name="Normal" xfId="0" builtinId="0"/>
    <cellStyle name="Normal 2" xfId="3" xr:uid="{00000000-0005-0000-0000-000003000000}"/>
    <cellStyle name="Percent" xfId="2" builtinId="5"/>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44"/>
        </patternFill>
      </fill>
    </dxf>
    <dxf>
      <fill>
        <patternFill>
          <bgColor rgb="FFFFFF00"/>
        </patternFill>
      </fill>
    </dxf>
    <dxf>
      <fill>
        <patternFill>
          <bgColor rgb="FFFF0000"/>
        </patternFill>
      </fill>
    </dxf>
    <dxf>
      <fill>
        <patternFill>
          <bgColor indexed="44"/>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indexed="44"/>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indexed="44"/>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indexed="44"/>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indexed="10"/>
        </patternFill>
      </fill>
    </dxf>
    <dxf>
      <fill>
        <patternFill>
          <bgColor indexed="44"/>
        </patternFill>
      </fill>
    </dxf>
    <dxf>
      <fill>
        <patternFill>
          <bgColor indexed="44"/>
        </patternFill>
      </fill>
    </dxf>
    <dxf>
      <fill>
        <patternFill>
          <bgColor indexed="44"/>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EAEAEA"/>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falchi\AppData\Local\Microsoft\Windows\Temporary%20Internet%20Files\Content.Outlook\Y7PNKLO5\campus%20RR%20Budget%20Template%20-%20FY12%20ST%20Instruction%202012-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umailsyr-my.sharepoint.com/personal/jtfalchi_syr_edu/Documents/Attachments/OSP%20Budget%20Template%20-%20FY%2024%20-%20other%20personnel1_stu%20draft.xlsx" TargetMode="External"/><Relationship Id="rId1" Type="http://schemas.openxmlformats.org/officeDocument/2006/relationships/externalLinkPath" Target="https://sumailsyr-my.sharepoint.com/personal/jtfalchi_syr_edu/Documents/Attachments/OSP%20Budget%20Template%20-%20FY%2024%20-%20other%20personnel1_stu%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ersonnel Yr 1"/>
      <sheetName val="Personnel Yr 2"/>
      <sheetName val="Personnel Yr 3"/>
      <sheetName val="Personnel Yr 4"/>
      <sheetName val="Personnel Yr 5"/>
      <sheetName val="Non-personnel"/>
      <sheetName val="Summary"/>
      <sheetName val="File Copy"/>
      <sheetName val="File Copy - No Salary"/>
      <sheetName val="Drop Choices"/>
      <sheetName val="Justification"/>
      <sheetName val="424a"/>
      <sheetName val="ED524"/>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Dr</v>
          </cell>
          <cell r="B2" t="str">
            <v>MTDC</v>
          </cell>
          <cell r="C2" t="str">
            <v>Federal</v>
          </cell>
          <cell r="D2">
            <v>0.21199999999999999</v>
          </cell>
          <cell r="G2" t="str">
            <v>Instruction - Off Campus</v>
          </cell>
          <cell r="H2">
            <v>0.26</v>
          </cell>
          <cell r="I2" t="str">
            <v>Research - On Campus - 48.00%</v>
          </cell>
          <cell r="J2" t="str">
            <v>Instruction - Off Campus</v>
          </cell>
          <cell r="K2">
            <v>0.26</v>
          </cell>
          <cell r="L2" t="str">
            <v>PI</v>
          </cell>
          <cell r="M2">
            <v>1</v>
          </cell>
          <cell r="O2" t="str">
            <v>FY12 - $1206</v>
          </cell>
        </row>
        <row r="3">
          <cell r="A3" t="str">
            <v>Prof</v>
          </cell>
          <cell r="B3" t="str">
            <v>TDC</v>
          </cell>
          <cell r="C3" t="str">
            <v>Fnd/Prof Soc</v>
          </cell>
          <cell r="D3">
            <v>0.49</v>
          </cell>
          <cell r="G3" t="str">
            <v>Instruction - On Campus</v>
          </cell>
          <cell r="H3">
            <v>0.32</v>
          </cell>
          <cell r="I3" t="str">
            <v>Instruction - On Campus - 32.00%</v>
          </cell>
          <cell r="J3" t="str">
            <v>Instruction - On Campus</v>
          </cell>
          <cell r="K3">
            <v>0.32</v>
          </cell>
          <cell r="L3" t="str">
            <v>Co-PI</v>
          </cell>
          <cell r="M3">
            <v>2</v>
          </cell>
          <cell r="O3" t="str">
            <v>FY13 - $1252</v>
          </cell>
        </row>
        <row r="4">
          <cell r="A4" t="str">
            <v>Ms</v>
          </cell>
          <cell r="B4" t="str">
            <v>SWFB</v>
          </cell>
          <cell r="C4" t="str">
            <v>Full</v>
          </cell>
          <cell r="D4">
            <v>0.35499999999999998</v>
          </cell>
          <cell r="G4" t="str">
            <v>Other - Off Campus</v>
          </cell>
          <cell r="H4">
            <v>0.26</v>
          </cell>
          <cell r="I4" t="str">
            <v>Other - On Campus - 33.00%</v>
          </cell>
          <cell r="J4" t="str">
            <v>Other - Off Campus</v>
          </cell>
          <cell r="K4">
            <v>0.26</v>
          </cell>
          <cell r="L4" t="str">
            <v>Co-Investigator</v>
          </cell>
          <cell r="M4">
            <v>3</v>
          </cell>
          <cell r="O4" t="str">
            <v>FY14 - $1300</v>
          </cell>
        </row>
        <row r="5">
          <cell r="A5" t="str">
            <v>Mrs</v>
          </cell>
          <cell r="B5" t="str">
            <v>NSF</v>
          </cell>
          <cell r="C5" t="str">
            <v>Summer</v>
          </cell>
          <cell r="D5">
            <v>0.192</v>
          </cell>
          <cell r="G5" t="str">
            <v>Other - On Campus</v>
          </cell>
          <cell r="H5">
            <v>0.33</v>
          </cell>
          <cell r="I5" t="str">
            <v>Research - Off Campus - 26.00%</v>
          </cell>
          <cell r="J5" t="str">
            <v>Other - On Campus</v>
          </cell>
          <cell r="K5">
            <v>0.33</v>
          </cell>
          <cell r="L5" t="str">
            <v>Fellow</v>
          </cell>
          <cell r="M5">
            <v>4</v>
          </cell>
          <cell r="O5" t="str">
            <v>FY15 - $1349</v>
          </cell>
        </row>
        <row r="6">
          <cell r="A6" t="str">
            <v>Mr</v>
          </cell>
          <cell r="C6" t="str">
            <v>Temp</v>
          </cell>
          <cell r="D6">
            <v>8.2000000000000003E-2</v>
          </cell>
          <cell r="G6" t="str">
            <v>Research - Off Campus</v>
          </cell>
          <cell r="H6">
            <v>0.26</v>
          </cell>
          <cell r="I6" t="str">
            <v>Instruction - Off Campus - 26.00%</v>
          </cell>
          <cell r="J6" t="str">
            <v>Research - Off Campus</v>
          </cell>
          <cell r="K6">
            <v>0.26</v>
          </cell>
          <cell r="L6" t="str">
            <v>Project Director</v>
          </cell>
          <cell r="M6">
            <v>5</v>
          </cell>
        </row>
        <row r="7">
          <cell r="A7" t="str">
            <v>Rev</v>
          </cell>
          <cell r="G7" t="str">
            <v>Research - On Campus</v>
          </cell>
          <cell r="H7">
            <v>0.47</v>
          </cell>
          <cell r="I7" t="str">
            <v>Other - Off Campus - 26.00%</v>
          </cell>
          <cell r="J7" t="str">
            <v>Research - On Campus</v>
          </cell>
          <cell r="K7">
            <v>0.48</v>
          </cell>
          <cell r="L7" t="str">
            <v>Statistician</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nel Yr 1"/>
      <sheetName val="Personnel Yr 2"/>
      <sheetName val="Personnel Yr 3"/>
      <sheetName val="Personnel Yr 4"/>
      <sheetName val="Personnel Yr 5"/>
      <sheetName val="Non-personnel"/>
      <sheetName val="Summary"/>
      <sheetName val="File Copy"/>
      <sheetName val="File Copy - No Salary"/>
      <sheetName val="Drop Choices"/>
      <sheetName val="NIH Mod-Even Dist"/>
      <sheetName val="NIH Mod-Free"/>
      <sheetName val="OSA"/>
      <sheetName val="Justification"/>
      <sheetName val="424a"/>
      <sheetName val="ED524"/>
      <sheetName val="Change Log"/>
    </sheetNames>
    <sheetDataSet>
      <sheetData sheetId="0"/>
      <sheetData sheetId="1"/>
      <sheetData sheetId="2"/>
      <sheetData sheetId="3"/>
      <sheetData sheetId="4"/>
      <sheetData sheetId="5"/>
      <sheetData sheetId="6"/>
      <sheetData sheetId="7"/>
      <sheetData sheetId="8"/>
      <sheetData sheetId="9">
        <row r="2">
          <cell r="G2" t="str">
            <v>Research - On Campus - 49.00%</v>
          </cell>
          <cell r="R2">
            <v>53760</v>
          </cell>
          <cell r="S2" t="str">
            <v>Postdoctoral Associates</v>
          </cell>
          <cell r="T2" t="str">
            <v>Tenure/Tenure Track Faculty</v>
          </cell>
        </row>
        <row r="3">
          <cell r="G3" t="str">
            <v>Instruction - On Campus - 34.00%</v>
          </cell>
          <cell r="Q3">
            <v>212100</v>
          </cell>
          <cell r="S3" t="str">
            <v>Research Associate - Full Time</v>
          </cell>
          <cell r="T3" t="str">
            <v>Senior Research Associate</v>
          </cell>
        </row>
        <row r="4">
          <cell r="G4" t="str">
            <v>Other - On Campus - 35.00%</v>
          </cell>
          <cell r="S4" t="str">
            <v>Research Associate - Hourly</v>
          </cell>
          <cell r="T4" t="str">
            <v>Senior Research Faculty - Full Time</v>
          </cell>
        </row>
        <row r="5">
          <cell r="E5" t="str">
            <v>Adjunct Faculty</v>
          </cell>
          <cell r="G5" t="str">
            <v>Research - Off Campus - 26.00%</v>
          </cell>
          <cell r="S5" t="str">
            <v>Other Professional</v>
          </cell>
          <cell r="T5" t="str">
            <v>Senior Research Faculty - Hourly</v>
          </cell>
        </row>
        <row r="6">
          <cell r="E6" t="str">
            <v>Postdoctoral Associates, Research Associate - Full Time, Other Professional, Secreterial/Clerical, Tenure/Tenure Track Faculty, Senior Research Associate, Senior Research Faculty - Full Time, Non-PhD</v>
          </cell>
          <cell r="G6" t="str">
            <v>Instruction - Off Campus - 26.00%</v>
          </cell>
          <cell r="S6" t="str">
            <v>Graduate Students</v>
          </cell>
          <cell r="T6" t="str">
            <v>Non-PhD</v>
          </cell>
        </row>
        <row r="7">
          <cell r="G7" t="str">
            <v>Other - Off Campus - 26.00%</v>
          </cell>
          <cell r="S7" t="str">
            <v>Undergraduate Students</v>
          </cell>
        </row>
        <row r="8">
          <cell r="E8" t="str">
            <v>Research Associate - Hourly, Undergraduate Students, Other (Temp, wages), Extra Service &amp; Overload, Senior Research Faculty - Hourly</v>
          </cell>
          <cell r="S8" t="str">
            <v>Secretarial/Clerical</v>
          </cell>
        </row>
        <row r="9">
          <cell r="S9" t="str">
            <v>Other (Temp, wages)</v>
          </cell>
        </row>
        <row r="10">
          <cell r="S10" t="str">
            <v>Extra Service &amp; Overload</v>
          </cell>
        </row>
        <row r="11">
          <cell r="S11" t="str">
            <v>Adjunct Faculty</v>
          </cell>
        </row>
      </sheetData>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grants.nih.gov/grants/funding/modular/modular_faq_pub.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grants.nih.gov/grants/funding/modular/modular_faq_pub.ht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56"/>
  <sheetViews>
    <sheetView workbookViewId="0"/>
  </sheetViews>
  <sheetFormatPr defaultRowHeight="12.75" x14ac:dyDescent="0.2"/>
  <cols>
    <col min="1" max="1" width="10" customWidth="1"/>
  </cols>
  <sheetData>
    <row r="1" spans="1:1" x14ac:dyDescent="0.2">
      <c r="A1" s="58">
        <v>45831</v>
      </c>
    </row>
    <row r="2" spans="1:1" x14ac:dyDescent="0.2">
      <c r="A2" t="s">
        <v>676</v>
      </c>
    </row>
    <row r="4" spans="1:1" x14ac:dyDescent="0.2">
      <c r="A4" s="58">
        <v>45456</v>
      </c>
    </row>
    <row r="5" spans="1:1" x14ac:dyDescent="0.2">
      <c r="A5" t="s">
        <v>676</v>
      </c>
    </row>
    <row r="7" spans="1:1" x14ac:dyDescent="0.2">
      <c r="A7" s="58">
        <v>45394</v>
      </c>
    </row>
    <row r="8" spans="1:1" x14ac:dyDescent="0.2">
      <c r="A8" t="s">
        <v>675</v>
      </c>
    </row>
    <row r="10" spans="1:1" x14ac:dyDescent="0.2">
      <c r="A10" t="s">
        <v>672</v>
      </c>
    </row>
    <row r="11" spans="1:1" x14ac:dyDescent="0.2">
      <c r="A11" t="s">
        <v>673</v>
      </c>
    </row>
    <row r="13" spans="1:1" x14ac:dyDescent="0.2">
      <c r="A13" s="58">
        <v>45324</v>
      </c>
    </row>
    <row r="14" spans="1:1" x14ac:dyDescent="0.2">
      <c r="A14" s="273" t="s">
        <v>522</v>
      </c>
    </row>
    <row r="16" spans="1:1" x14ac:dyDescent="0.2">
      <c r="A16" s="58">
        <v>45218</v>
      </c>
    </row>
    <row r="17" spans="1:1" x14ac:dyDescent="0.2">
      <c r="A17" t="s">
        <v>670</v>
      </c>
    </row>
    <row r="20" spans="1:1" x14ac:dyDescent="0.2">
      <c r="A20" s="58">
        <v>45146</v>
      </c>
    </row>
    <row r="21" spans="1:1" x14ac:dyDescent="0.2">
      <c r="A21" s="460" t="s">
        <v>667</v>
      </c>
    </row>
    <row r="22" spans="1:1" x14ac:dyDescent="0.2">
      <c r="A22" s="273" t="s">
        <v>668</v>
      </c>
    </row>
    <row r="23" spans="1:1" x14ac:dyDescent="0.2">
      <c r="A23" s="273" t="s">
        <v>669</v>
      </c>
    </row>
    <row r="25" spans="1:1" x14ac:dyDescent="0.2">
      <c r="A25" s="58">
        <v>45138</v>
      </c>
    </row>
    <row r="26" spans="1:1" x14ac:dyDescent="0.2">
      <c r="A26" t="s">
        <v>666</v>
      </c>
    </row>
    <row r="28" spans="1:1" x14ac:dyDescent="0.2">
      <c r="A28" s="58">
        <v>45135</v>
      </c>
    </row>
    <row r="29" spans="1:1" x14ac:dyDescent="0.2">
      <c r="A29" s="273" t="s">
        <v>662</v>
      </c>
    </row>
    <row r="30" spans="1:1" x14ac:dyDescent="0.2">
      <c r="A30" s="273" t="s">
        <v>663</v>
      </c>
    </row>
    <row r="31" spans="1:1" x14ac:dyDescent="0.2">
      <c r="A31" s="273" t="s">
        <v>664</v>
      </c>
    </row>
    <row r="32" spans="1:1" x14ac:dyDescent="0.2">
      <c r="A32" s="273" t="s">
        <v>665</v>
      </c>
    </row>
    <row r="33" spans="1:1" x14ac:dyDescent="0.2">
      <c r="A33" s="273"/>
    </row>
    <row r="34" spans="1:1" x14ac:dyDescent="0.2">
      <c r="A34" s="58">
        <v>45117</v>
      </c>
    </row>
    <row r="35" spans="1:1" x14ac:dyDescent="0.2">
      <c r="A35" t="s">
        <v>582</v>
      </c>
    </row>
    <row r="37" spans="1:1" x14ac:dyDescent="0.2">
      <c r="A37" s="58">
        <v>45112</v>
      </c>
    </row>
    <row r="38" spans="1:1" x14ac:dyDescent="0.2">
      <c r="A38" t="s">
        <v>581</v>
      </c>
    </row>
    <row r="40" spans="1:1" x14ac:dyDescent="0.2">
      <c r="A40" s="58">
        <v>45106</v>
      </c>
    </row>
    <row r="41" spans="1:1" x14ac:dyDescent="0.2">
      <c r="A41" t="s">
        <v>579</v>
      </c>
    </row>
    <row r="42" spans="1:1" x14ac:dyDescent="0.2">
      <c r="A42" t="s">
        <v>580</v>
      </c>
    </row>
    <row r="44" spans="1:1" x14ac:dyDescent="0.2">
      <c r="A44" s="58">
        <v>45105</v>
      </c>
    </row>
    <row r="45" spans="1:1" x14ac:dyDescent="0.2">
      <c r="A45" t="s">
        <v>574</v>
      </c>
    </row>
    <row r="47" spans="1:1" x14ac:dyDescent="0.2">
      <c r="A47" s="58">
        <v>45104</v>
      </c>
    </row>
    <row r="48" spans="1:1" x14ac:dyDescent="0.2">
      <c r="A48" t="s">
        <v>573</v>
      </c>
    </row>
    <row r="50" spans="1:1" x14ac:dyDescent="0.2">
      <c r="A50" s="58" t="s">
        <v>572</v>
      </c>
    </row>
    <row r="51" spans="1:1" x14ac:dyDescent="0.2">
      <c r="A51" t="s">
        <v>542</v>
      </c>
    </row>
    <row r="52" spans="1:1" x14ac:dyDescent="0.2">
      <c r="A52" t="s">
        <v>543</v>
      </c>
    </row>
    <row r="53" spans="1:1" x14ac:dyDescent="0.2">
      <c r="A53" t="s">
        <v>544</v>
      </c>
    </row>
    <row r="55" spans="1:1" x14ac:dyDescent="0.2">
      <c r="A55" s="58">
        <v>45027</v>
      </c>
    </row>
    <row r="56" spans="1:1" x14ac:dyDescent="0.2">
      <c r="A56" s="273" t="s">
        <v>526</v>
      </c>
    </row>
    <row r="58" spans="1:1" x14ac:dyDescent="0.2">
      <c r="A58" s="58">
        <v>45009</v>
      </c>
    </row>
    <row r="59" spans="1:1" x14ac:dyDescent="0.2">
      <c r="A59" t="s">
        <v>524</v>
      </c>
    </row>
    <row r="61" spans="1:1" x14ac:dyDescent="0.2">
      <c r="A61" s="58">
        <v>45007</v>
      </c>
    </row>
    <row r="62" spans="1:1" x14ac:dyDescent="0.2">
      <c r="A62" s="273" t="s">
        <v>521</v>
      </c>
    </row>
    <row r="63" spans="1:1" x14ac:dyDescent="0.2">
      <c r="A63" s="273" t="s">
        <v>522</v>
      </c>
    </row>
    <row r="65" spans="1:1" x14ac:dyDescent="0.2">
      <c r="A65" s="58">
        <v>44714</v>
      </c>
    </row>
    <row r="66" spans="1:1" x14ac:dyDescent="0.2">
      <c r="A66" s="273" t="s">
        <v>518</v>
      </c>
    </row>
    <row r="67" spans="1:1" x14ac:dyDescent="0.2">
      <c r="A67" s="273" t="s">
        <v>519</v>
      </c>
    </row>
    <row r="69" spans="1:1" x14ac:dyDescent="0.2">
      <c r="A69" s="58">
        <v>44617</v>
      </c>
    </row>
    <row r="70" spans="1:1" x14ac:dyDescent="0.2">
      <c r="A70" s="273" t="s">
        <v>516</v>
      </c>
    </row>
    <row r="72" spans="1:1" x14ac:dyDescent="0.2">
      <c r="A72" s="58">
        <v>44364</v>
      </c>
    </row>
    <row r="73" spans="1:1" x14ac:dyDescent="0.2">
      <c r="A73" s="273" t="s">
        <v>515</v>
      </c>
    </row>
    <row r="75" spans="1:1" x14ac:dyDescent="0.2">
      <c r="A75" s="58">
        <v>44236</v>
      </c>
    </row>
    <row r="76" spans="1:1" x14ac:dyDescent="0.2">
      <c r="A76" t="s">
        <v>514</v>
      </c>
    </row>
    <row r="78" spans="1:1" x14ac:dyDescent="0.2">
      <c r="A78" s="58">
        <v>44005</v>
      </c>
    </row>
    <row r="79" spans="1:1" x14ac:dyDescent="0.2">
      <c r="A79" t="s">
        <v>513</v>
      </c>
    </row>
    <row r="81" spans="1:1" x14ac:dyDescent="0.2">
      <c r="A81" s="58">
        <v>43986</v>
      </c>
    </row>
    <row r="82" spans="1:1" x14ac:dyDescent="0.2">
      <c r="A82" t="s">
        <v>512</v>
      </c>
    </row>
    <row r="84" spans="1:1" x14ac:dyDescent="0.2">
      <c r="A84" s="58">
        <v>43985</v>
      </c>
    </row>
    <row r="85" spans="1:1" x14ac:dyDescent="0.2">
      <c r="A85" s="273" t="s">
        <v>508</v>
      </c>
    </row>
    <row r="86" spans="1:1" x14ac:dyDescent="0.2">
      <c r="A86" s="273" t="s">
        <v>509</v>
      </c>
    </row>
    <row r="87" spans="1:1" x14ac:dyDescent="0.2">
      <c r="A87" s="273" t="s">
        <v>510</v>
      </c>
    </row>
    <row r="88" spans="1:1" x14ac:dyDescent="0.2">
      <c r="A88" s="273" t="s">
        <v>511</v>
      </c>
    </row>
    <row r="90" spans="1:1" x14ac:dyDescent="0.2">
      <c r="A90" s="58">
        <v>43682</v>
      </c>
    </row>
    <row r="91" spans="1:1" x14ac:dyDescent="0.2">
      <c r="A91" t="s">
        <v>507</v>
      </c>
    </row>
    <row r="93" spans="1:1" x14ac:dyDescent="0.2">
      <c r="A93" s="58">
        <v>43679</v>
      </c>
    </row>
    <row r="94" spans="1:1" x14ac:dyDescent="0.2">
      <c r="A94" t="s">
        <v>506</v>
      </c>
    </row>
    <row r="96" spans="1:1" x14ac:dyDescent="0.2">
      <c r="A96" s="58">
        <v>43656</v>
      </c>
    </row>
    <row r="97" spans="1:1" x14ac:dyDescent="0.2">
      <c r="A97" s="58" t="s">
        <v>505</v>
      </c>
    </row>
    <row r="99" spans="1:1" x14ac:dyDescent="0.2">
      <c r="A99" s="58">
        <v>43206</v>
      </c>
    </row>
    <row r="100" spans="1:1" x14ac:dyDescent="0.2">
      <c r="A100" s="273" t="s">
        <v>503</v>
      </c>
    </row>
    <row r="102" spans="1:1" x14ac:dyDescent="0.2">
      <c r="A102" s="58">
        <v>43150</v>
      </c>
    </row>
    <row r="103" spans="1:1" x14ac:dyDescent="0.2">
      <c r="A103" t="s">
        <v>502</v>
      </c>
    </row>
    <row r="105" spans="1:1" x14ac:dyDescent="0.2">
      <c r="A105" s="58">
        <v>43020</v>
      </c>
    </row>
    <row r="106" spans="1:1" x14ac:dyDescent="0.2">
      <c r="A106" s="273" t="s">
        <v>501</v>
      </c>
    </row>
    <row r="108" spans="1:1" x14ac:dyDescent="0.2">
      <c r="A108" s="58">
        <v>42831</v>
      </c>
    </row>
    <row r="109" spans="1:1" x14ac:dyDescent="0.2">
      <c r="A109" t="s">
        <v>500</v>
      </c>
    </row>
    <row r="111" spans="1:1" x14ac:dyDescent="0.2">
      <c r="A111" s="58">
        <v>42767</v>
      </c>
    </row>
    <row r="112" spans="1:1" x14ac:dyDescent="0.2">
      <c r="A112" s="273" t="s">
        <v>499</v>
      </c>
    </row>
    <row r="114" spans="1:1" x14ac:dyDescent="0.2">
      <c r="A114" s="58">
        <v>42425</v>
      </c>
    </row>
    <row r="115" spans="1:1" x14ac:dyDescent="0.2">
      <c r="A115" t="s">
        <v>497</v>
      </c>
    </row>
    <row r="116" spans="1:1" x14ac:dyDescent="0.2">
      <c r="A116" t="s">
        <v>498</v>
      </c>
    </row>
    <row r="118" spans="1:1" x14ac:dyDescent="0.2">
      <c r="A118" s="58">
        <v>42375</v>
      </c>
    </row>
    <row r="119" spans="1:1" x14ac:dyDescent="0.2">
      <c r="A119" t="s">
        <v>496</v>
      </c>
    </row>
    <row r="121" spans="1:1" x14ac:dyDescent="0.2">
      <c r="A121" s="58">
        <v>42193</v>
      </c>
    </row>
    <row r="122" spans="1:1" x14ac:dyDescent="0.2">
      <c r="A122" t="s">
        <v>494</v>
      </c>
    </row>
    <row r="124" spans="1:1" x14ac:dyDescent="0.2">
      <c r="A124" s="58">
        <v>42192</v>
      </c>
    </row>
    <row r="125" spans="1:1" x14ac:dyDescent="0.2">
      <c r="A125" t="s">
        <v>491</v>
      </c>
    </row>
    <row r="127" spans="1:1" x14ac:dyDescent="0.2">
      <c r="A127" s="58">
        <v>42094</v>
      </c>
    </row>
    <row r="128" spans="1:1" x14ac:dyDescent="0.2">
      <c r="A128" t="s">
        <v>490</v>
      </c>
    </row>
    <row r="129" spans="1:1" x14ac:dyDescent="0.2">
      <c r="A129" t="s">
        <v>489</v>
      </c>
    </row>
    <row r="131" spans="1:1" x14ac:dyDescent="0.2">
      <c r="A131" s="58">
        <v>42047</v>
      </c>
    </row>
    <row r="132" spans="1:1" x14ac:dyDescent="0.2">
      <c r="A132" t="s">
        <v>488</v>
      </c>
    </row>
    <row r="134" spans="1:1" x14ac:dyDescent="0.2">
      <c r="A134" s="58">
        <v>42037</v>
      </c>
    </row>
    <row r="135" spans="1:1" x14ac:dyDescent="0.2">
      <c r="A135" t="s">
        <v>487</v>
      </c>
    </row>
    <row r="137" spans="1:1" x14ac:dyDescent="0.2">
      <c r="A137" s="58">
        <v>42034</v>
      </c>
    </row>
    <row r="138" spans="1:1" x14ac:dyDescent="0.2">
      <c r="A138" t="s">
        <v>485</v>
      </c>
    </row>
    <row r="139" spans="1:1" x14ac:dyDescent="0.2">
      <c r="A139" t="s">
        <v>486</v>
      </c>
    </row>
    <row r="141" spans="1:1" x14ac:dyDescent="0.2">
      <c r="A141" s="58">
        <v>41681</v>
      </c>
    </row>
    <row r="142" spans="1:1" x14ac:dyDescent="0.2">
      <c r="A142" s="273" t="s">
        <v>398</v>
      </c>
    </row>
    <row r="144" spans="1:1" x14ac:dyDescent="0.2">
      <c r="A144" s="58">
        <v>41674</v>
      </c>
    </row>
    <row r="145" spans="1:1" x14ac:dyDescent="0.2">
      <c r="A145" t="s">
        <v>396</v>
      </c>
    </row>
    <row r="146" spans="1:1" x14ac:dyDescent="0.2">
      <c r="A146" t="s">
        <v>397</v>
      </c>
    </row>
    <row r="148" spans="1:1" x14ac:dyDescent="0.2">
      <c r="A148" s="58">
        <v>40645</v>
      </c>
    </row>
    <row r="149" spans="1:1" x14ac:dyDescent="0.2">
      <c r="A149" s="24" t="s">
        <v>387</v>
      </c>
    </row>
    <row r="150" spans="1:1" x14ac:dyDescent="0.2">
      <c r="A150" s="24" t="s">
        <v>390</v>
      </c>
    </row>
    <row r="152" spans="1:1" x14ac:dyDescent="0.2">
      <c r="A152" s="58">
        <v>40641</v>
      </c>
    </row>
    <row r="153" spans="1:1" x14ac:dyDescent="0.2">
      <c r="A153" s="24" t="s">
        <v>388</v>
      </c>
    </row>
    <row r="155" spans="1:1" x14ac:dyDescent="0.2">
      <c r="A155" s="58">
        <v>40632</v>
      </c>
    </row>
    <row r="156" spans="1:1" x14ac:dyDescent="0.2">
      <c r="A156" s="24" t="s">
        <v>389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S32"/>
  <sheetViews>
    <sheetView workbookViewId="0">
      <selection sqref="A1:G1"/>
    </sheetView>
  </sheetViews>
  <sheetFormatPr defaultRowHeight="12.75" x14ac:dyDescent="0.2"/>
  <cols>
    <col min="1" max="5" width="10" customWidth="1"/>
    <col min="6" max="7" width="19.28515625" customWidth="1"/>
    <col min="8" max="9" width="10" customWidth="1"/>
  </cols>
  <sheetData>
    <row r="1" spans="1:19" ht="18" x14ac:dyDescent="0.25">
      <c r="A1" s="539" t="s">
        <v>71</v>
      </c>
      <c r="B1" s="539"/>
      <c r="C1" s="539"/>
      <c r="D1" s="539"/>
      <c r="E1" s="539"/>
      <c r="F1" s="539"/>
      <c r="G1" s="539"/>
      <c r="H1" s="26"/>
      <c r="I1" s="26"/>
      <c r="J1" s="26"/>
      <c r="K1" s="26"/>
      <c r="L1" s="26"/>
      <c r="M1" s="26"/>
      <c r="N1" s="26"/>
      <c r="O1" s="26"/>
      <c r="P1" s="26"/>
      <c r="Q1" s="26"/>
      <c r="R1" s="26"/>
      <c r="S1" s="26"/>
    </row>
    <row r="2" spans="1:19" x14ac:dyDescent="0.2">
      <c r="A2" s="1"/>
      <c r="B2" s="1"/>
      <c r="C2" s="1"/>
      <c r="D2" s="1"/>
      <c r="E2" s="1"/>
      <c r="F2" s="1"/>
      <c r="G2" s="1"/>
      <c r="H2" s="1"/>
      <c r="I2" s="1"/>
      <c r="J2" s="1"/>
      <c r="K2" s="1"/>
      <c r="L2" s="1"/>
      <c r="M2" s="1"/>
      <c r="N2" s="1"/>
      <c r="O2" s="24"/>
      <c r="P2" s="24"/>
      <c r="Q2" s="24"/>
      <c r="R2" s="24"/>
      <c r="S2" s="24"/>
    </row>
    <row r="3" spans="1:19" ht="18" x14ac:dyDescent="0.25">
      <c r="A3" s="539" t="s">
        <v>77</v>
      </c>
      <c r="B3" s="539"/>
      <c r="C3" s="539"/>
      <c r="D3" s="539"/>
      <c r="E3" s="539"/>
      <c r="F3" s="539"/>
      <c r="G3" s="539"/>
      <c r="H3" s="26"/>
      <c r="I3" s="26"/>
      <c r="J3" s="26"/>
      <c r="K3" s="26"/>
      <c r="L3" s="26"/>
      <c r="M3" s="26"/>
      <c r="N3" s="26"/>
      <c r="O3" s="26"/>
      <c r="P3" s="26"/>
      <c r="Q3" s="26"/>
      <c r="R3" s="26"/>
      <c r="S3" s="26"/>
    </row>
    <row r="4" spans="1:19" ht="13.5" thickBot="1" x14ac:dyDescent="0.25">
      <c r="F4" s="626" t="s">
        <v>78</v>
      </c>
      <c r="G4" s="626"/>
      <c r="H4" t="s">
        <v>110</v>
      </c>
      <c r="I4" t="s">
        <v>111</v>
      </c>
      <c r="J4" t="s">
        <v>112</v>
      </c>
      <c r="K4">
        <v>4</v>
      </c>
      <c r="L4">
        <v>5</v>
      </c>
    </row>
    <row r="5" spans="1:19" x14ac:dyDescent="0.2">
      <c r="A5" s="690" t="s">
        <v>79</v>
      </c>
      <c r="B5" s="691"/>
      <c r="C5" s="691"/>
      <c r="D5" s="691"/>
      <c r="E5" s="692"/>
      <c r="F5" s="47"/>
      <c r="G5" s="46">
        <f>SUM('Personnel Yr 1'!O16,'Personnel Yr 2'!O16,'Personnel Yr 3'!O16,'Personnel Yr 4'!O16,'Personnel Yr 5'!O16)</f>
        <v>0</v>
      </c>
      <c r="H5" s="167">
        <f>'Personnel Yr 1'!O16</f>
        <v>0</v>
      </c>
      <c r="I5" s="167">
        <f>'Personnel Yr 2'!O16</f>
        <v>0</v>
      </c>
      <c r="J5" s="167">
        <f>'Personnel Yr 3'!O16</f>
        <v>0</v>
      </c>
      <c r="K5" s="167">
        <f>'Personnel Yr 4'!O16</f>
        <v>0</v>
      </c>
      <c r="L5" s="167">
        <f>'Personnel Yr 5'!O16</f>
        <v>0</v>
      </c>
    </row>
    <row r="6" spans="1:19" x14ac:dyDescent="0.2">
      <c r="A6" s="682" t="s">
        <v>80</v>
      </c>
      <c r="B6" s="683"/>
      <c r="C6" s="683"/>
      <c r="D6" s="683"/>
      <c r="E6" s="684"/>
      <c r="F6" s="29"/>
      <c r="G6" s="28">
        <f>SUM('Personnel Yr 1'!O49,'Personnel Yr 2'!O49,'Personnel Yr 3'!O49,'Personnel Yr 4'!O47,'Personnel Yr 5'!O47)</f>
        <v>0</v>
      </c>
    </row>
    <row r="7" spans="1:19" x14ac:dyDescent="0.2">
      <c r="B7" s="668" t="s">
        <v>8</v>
      </c>
      <c r="C7" s="688"/>
      <c r="D7" s="688"/>
      <c r="E7" s="689"/>
      <c r="F7" s="48">
        <f>SUM('Personnel Yr 5'!B47,'Personnel Yr 4'!B47,'Personnel Yr 3'!B49,'Personnel Yr 2'!B49,'Personnel Yr 1'!B49)</f>
        <v>0</v>
      </c>
      <c r="G7" s="30"/>
    </row>
    <row r="8" spans="1:19" x14ac:dyDescent="0.2">
      <c r="A8" s="682" t="s">
        <v>10</v>
      </c>
      <c r="B8" s="683"/>
      <c r="C8" s="683"/>
      <c r="D8" s="683"/>
      <c r="E8" s="684"/>
      <c r="F8" s="29"/>
      <c r="G8" s="28">
        <f>SUM('Personnel Yr 1'!O50,'Personnel Yr 2'!O50,'Personnel Yr 3'!O50,'Personnel Yr 4'!O48,'Personnel Yr 5'!O48)</f>
        <v>0</v>
      </c>
    </row>
    <row r="9" spans="1:19" x14ac:dyDescent="0.2">
      <c r="A9" s="682" t="s">
        <v>81</v>
      </c>
      <c r="B9" s="683"/>
      <c r="C9" s="683"/>
      <c r="D9" s="683"/>
      <c r="E9" s="684"/>
      <c r="F9" s="29"/>
      <c r="G9" s="28">
        <f>SUM('Non-personnel'!R15:S15)</f>
        <v>0</v>
      </c>
    </row>
    <row r="10" spans="1:19" x14ac:dyDescent="0.2">
      <c r="A10" s="682" t="s">
        <v>82</v>
      </c>
      <c r="B10" s="683"/>
      <c r="C10" s="683"/>
      <c r="D10" s="683"/>
      <c r="E10" s="684"/>
      <c r="F10" s="48">
        <f>SUM('Non-personnel'!R21:S21)</f>
        <v>0</v>
      </c>
      <c r="G10" s="30"/>
    </row>
    <row r="11" spans="1:19" x14ac:dyDescent="0.2">
      <c r="A11" s="27">
        <v>1</v>
      </c>
      <c r="B11" s="520" t="s">
        <v>83</v>
      </c>
      <c r="C11" s="520"/>
      <c r="D11" s="520"/>
      <c r="E11" s="685"/>
      <c r="F11" s="48">
        <f>SUM('Non-personnel'!R19:S19)</f>
        <v>0</v>
      </c>
      <c r="G11" s="30"/>
    </row>
    <row r="12" spans="1:19" x14ac:dyDescent="0.2">
      <c r="A12" s="27">
        <v>2</v>
      </c>
      <c r="B12" s="520" t="s">
        <v>84</v>
      </c>
      <c r="C12" s="520"/>
      <c r="D12" s="520"/>
      <c r="E12" s="685"/>
      <c r="F12" s="48">
        <f>SUM('Non-personnel'!R20:S20)</f>
        <v>0</v>
      </c>
      <c r="G12" s="30"/>
    </row>
    <row r="13" spans="1:19" x14ac:dyDescent="0.2">
      <c r="A13" s="682" t="s">
        <v>85</v>
      </c>
      <c r="B13" s="683"/>
      <c r="C13" s="683"/>
      <c r="D13" s="683"/>
      <c r="E13" s="684"/>
      <c r="F13" s="49"/>
      <c r="G13" s="50">
        <f>SUM('Non-personnel'!R29:S29)</f>
        <v>0</v>
      </c>
    </row>
    <row r="14" spans="1:19" x14ac:dyDescent="0.2">
      <c r="A14" s="27">
        <v>2</v>
      </c>
      <c r="B14" s="520" t="s">
        <v>24</v>
      </c>
      <c r="C14" s="520"/>
      <c r="D14" s="520"/>
      <c r="E14" s="685"/>
      <c r="F14" s="48">
        <f>SUM('Non-personnel'!R25:S25)</f>
        <v>0</v>
      </c>
      <c r="G14" s="30"/>
    </row>
    <row r="15" spans="1:19" x14ac:dyDescent="0.2">
      <c r="A15" s="27">
        <v>3</v>
      </c>
      <c r="B15" s="520" t="s">
        <v>25</v>
      </c>
      <c r="C15" s="520"/>
      <c r="D15" s="520"/>
      <c r="E15" s="685"/>
      <c r="F15" s="48">
        <f>SUM('Non-personnel'!R26:S26)</f>
        <v>0</v>
      </c>
      <c r="G15" s="30"/>
    </row>
    <row r="16" spans="1:19" x14ac:dyDescent="0.2">
      <c r="A16" s="27">
        <v>4</v>
      </c>
      <c r="B16" s="520" t="s">
        <v>26</v>
      </c>
      <c r="C16" s="520"/>
      <c r="D16" s="520"/>
      <c r="E16" s="685"/>
      <c r="F16" s="48">
        <f>SUM('Non-personnel'!R27:S27)</f>
        <v>0</v>
      </c>
      <c r="G16" s="30"/>
    </row>
    <row r="17" spans="1:7" x14ac:dyDescent="0.2">
      <c r="A17" s="27">
        <v>5</v>
      </c>
      <c r="B17" s="520" t="s">
        <v>27</v>
      </c>
      <c r="C17" s="520"/>
      <c r="D17" s="520"/>
      <c r="E17" s="685"/>
      <c r="F17" s="48">
        <f>SUM('Non-personnel'!R28:S28)</f>
        <v>0</v>
      </c>
      <c r="G17" s="30"/>
    </row>
    <row r="18" spans="1:7" x14ac:dyDescent="0.2">
      <c r="A18" s="27">
        <v>6</v>
      </c>
      <c r="B18" s="520" t="s">
        <v>18</v>
      </c>
      <c r="C18" s="520"/>
      <c r="D18" s="520"/>
      <c r="E18" s="685"/>
      <c r="F18" s="48">
        <f>SUM('Non-personnel'!R29:S29)</f>
        <v>0</v>
      </c>
      <c r="G18" s="30"/>
    </row>
    <row r="19" spans="1:7" x14ac:dyDescent="0.2">
      <c r="A19" s="682" t="s">
        <v>86</v>
      </c>
      <c r="B19" s="683"/>
      <c r="C19" s="683"/>
      <c r="D19" s="683"/>
      <c r="E19" s="684"/>
      <c r="F19" s="29"/>
      <c r="G19" s="28">
        <f>SUM('Non-personnel'!R48:S48)</f>
        <v>0</v>
      </c>
    </row>
    <row r="20" spans="1:7" x14ac:dyDescent="0.2">
      <c r="A20" s="27">
        <v>1</v>
      </c>
      <c r="B20" s="520" t="s">
        <v>20</v>
      </c>
      <c r="C20" s="520"/>
      <c r="D20" s="520"/>
      <c r="E20" s="685"/>
      <c r="F20" s="48">
        <f>SUM('Non-personnel'!R34:S34)</f>
        <v>0</v>
      </c>
      <c r="G20" s="30"/>
    </row>
    <row r="21" spans="1:7" x14ac:dyDescent="0.2">
      <c r="A21" s="27">
        <v>2</v>
      </c>
      <c r="B21" s="520" t="s">
        <v>21</v>
      </c>
      <c r="C21" s="520"/>
      <c r="D21" s="520"/>
      <c r="E21" s="685"/>
      <c r="F21" s="48">
        <f>SUM('Non-personnel'!R35:S35)</f>
        <v>0</v>
      </c>
      <c r="G21" s="30"/>
    </row>
    <row r="22" spans="1:7" x14ac:dyDescent="0.2">
      <c r="A22" s="27">
        <v>3</v>
      </c>
      <c r="B22" s="520" t="s">
        <v>22</v>
      </c>
      <c r="C22" s="520"/>
      <c r="D22" s="520"/>
      <c r="E22" s="685"/>
      <c r="F22" s="48">
        <f>SUM('Non-personnel'!R36:S36)</f>
        <v>0</v>
      </c>
      <c r="G22" s="30"/>
    </row>
    <row r="23" spans="1:7" x14ac:dyDescent="0.2">
      <c r="A23" s="27">
        <v>4</v>
      </c>
      <c r="B23" s="520" t="s">
        <v>198</v>
      </c>
      <c r="C23" s="520"/>
      <c r="D23" s="520"/>
      <c r="E23" s="685"/>
      <c r="F23" s="48">
        <f>SUM('Non-personnel'!R37:S37)</f>
        <v>0</v>
      </c>
      <c r="G23" s="30"/>
    </row>
    <row r="24" spans="1:7" x14ac:dyDescent="0.2">
      <c r="A24" s="27">
        <v>5</v>
      </c>
      <c r="B24" s="520" t="s">
        <v>23</v>
      </c>
      <c r="C24" s="520"/>
      <c r="D24" s="520"/>
      <c r="E24" s="685"/>
      <c r="F24" s="48">
        <f>SUM('Non-personnel'!R38:S38)</f>
        <v>0</v>
      </c>
      <c r="G24" s="30"/>
    </row>
    <row r="25" spans="1:7" x14ac:dyDescent="0.2">
      <c r="A25" s="27">
        <v>6</v>
      </c>
      <c r="B25" s="520" t="s">
        <v>199</v>
      </c>
      <c r="C25" s="520"/>
      <c r="D25" s="520"/>
      <c r="E25" s="685"/>
      <c r="F25" s="48">
        <f>SUM('Non-personnel'!R39:S39)</f>
        <v>0</v>
      </c>
      <c r="G25" s="30"/>
    </row>
    <row r="26" spans="1:7" x14ac:dyDescent="0.2">
      <c r="A26" s="27">
        <v>7</v>
      </c>
      <c r="B26" s="520" t="s">
        <v>200</v>
      </c>
      <c r="C26" s="520"/>
      <c r="D26" s="520"/>
      <c r="E26" s="685"/>
      <c r="F26" s="48">
        <f>SUM('Non-personnel'!R40:S40)</f>
        <v>0</v>
      </c>
      <c r="G26" s="30"/>
    </row>
    <row r="27" spans="1:7" x14ac:dyDescent="0.2">
      <c r="A27" s="27">
        <v>8</v>
      </c>
      <c r="B27" s="686" t="s">
        <v>46</v>
      </c>
      <c r="C27" s="686"/>
      <c r="D27" s="686"/>
      <c r="E27" s="687"/>
      <c r="F27" s="48">
        <f>SUM('Non-personnel'!R41:S41)</f>
        <v>0</v>
      </c>
      <c r="G27" s="30"/>
    </row>
    <row r="28" spans="1:7" x14ac:dyDescent="0.2">
      <c r="A28" s="27">
        <v>9</v>
      </c>
      <c r="B28" s="520" t="str">
        <f>'Non-personnel'!B46</f>
        <v>Other - Describe</v>
      </c>
      <c r="C28" s="520"/>
      <c r="D28" s="520"/>
      <c r="E28" s="685"/>
      <c r="F28" s="48">
        <f>SUM('Non-personnel'!R46:S46)</f>
        <v>0</v>
      </c>
      <c r="G28" s="30"/>
    </row>
    <row r="29" spans="1:7" x14ac:dyDescent="0.2">
      <c r="A29" s="27">
        <v>10</v>
      </c>
      <c r="B29" s="520" t="str">
        <f>'Non-personnel'!B47</f>
        <v>Other - Describe</v>
      </c>
      <c r="C29" s="520"/>
      <c r="D29" s="520"/>
      <c r="E29" s="685"/>
      <c r="F29" s="48">
        <f>SUM('Non-personnel'!R47:S47)</f>
        <v>0</v>
      </c>
      <c r="G29" s="30"/>
    </row>
    <row r="30" spans="1:7" x14ac:dyDescent="0.2">
      <c r="A30" s="682" t="s">
        <v>87</v>
      </c>
      <c r="B30" s="683"/>
      <c r="C30" s="683"/>
      <c r="D30" s="683"/>
      <c r="E30" s="684"/>
      <c r="F30" s="29"/>
      <c r="G30" s="28">
        <f>SUM('Non-personnel'!R52:S52)</f>
        <v>0</v>
      </c>
    </row>
    <row r="31" spans="1:7" x14ac:dyDescent="0.2">
      <c r="A31" s="682" t="s">
        <v>88</v>
      </c>
      <c r="B31" s="683"/>
      <c r="C31" s="683"/>
      <c r="D31" s="683"/>
      <c r="E31" s="684"/>
      <c r="F31" s="29"/>
      <c r="G31" s="28">
        <f>SUM('Non-personnel'!R62:S62)</f>
        <v>0</v>
      </c>
    </row>
    <row r="32" spans="1:7" x14ac:dyDescent="0.2">
      <c r="A32" s="682" t="s">
        <v>89</v>
      </c>
      <c r="B32" s="683"/>
      <c r="C32" s="683"/>
      <c r="D32" s="683"/>
      <c r="E32" s="684"/>
      <c r="F32" s="29"/>
      <c r="G32" s="28">
        <f>SUM('Non-personnel'!R66:S66)</f>
        <v>0</v>
      </c>
    </row>
  </sheetData>
  <mergeCells count="31">
    <mergeCell ref="B22:E22"/>
    <mergeCell ref="B21:E21"/>
    <mergeCell ref="A1:G1"/>
    <mergeCell ref="B7:E7"/>
    <mergeCell ref="F4:G4"/>
    <mergeCell ref="A6:E6"/>
    <mergeCell ref="A5:E5"/>
    <mergeCell ref="B12:E12"/>
    <mergeCell ref="A3:G3"/>
    <mergeCell ref="A9:E9"/>
    <mergeCell ref="A10:E10"/>
    <mergeCell ref="A8:E8"/>
    <mergeCell ref="B11:E11"/>
    <mergeCell ref="B18:E18"/>
    <mergeCell ref="A19:E19"/>
    <mergeCell ref="A32:E32"/>
    <mergeCell ref="A31:E31"/>
    <mergeCell ref="A30:E30"/>
    <mergeCell ref="B17:E17"/>
    <mergeCell ref="A13:E13"/>
    <mergeCell ref="B14:E14"/>
    <mergeCell ref="B24:E24"/>
    <mergeCell ref="B28:E28"/>
    <mergeCell ref="B27:E27"/>
    <mergeCell ref="B26:E26"/>
    <mergeCell ref="B29:E29"/>
    <mergeCell ref="B25:E25"/>
    <mergeCell ref="B15:E15"/>
    <mergeCell ref="B23:E23"/>
    <mergeCell ref="B16:E16"/>
    <mergeCell ref="B20:E20"/>
  </mergeCells>
  <phoneticPr fontId="5" type="noConversion"/>
  <printOptions horizontalCentered="1"/>
  <pageMargins left="0.25" right="0.25" top="0.5" bottom="0.5" header="0.5" footer="0.5"/>
  <pageSetup orientation="portrait" r:id="rId1"/>
  <headerFooter alignWithMargins="0">
    <oddFooter>&amp;RPrinted On: &amp;D &amp;T</oddFooter>
  </headerFooter>
  <ignoredErrors>
    <ignoredError sqref="C28:E2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O419"/>
  <sheetViews>
    <sheetView workbookViewId="0">
      <selection sqref="A1:I1"/>
    </sheetView>
  </sheetViews>
  <sheetFormatPr defaultRowHeight="12.75" x14ac:dyDescent="0.2"/>
  <cols>
    <col min="1" max="1" width="22.5703125" customWidth="1"/>
    <col min="2" max="2" width="14.85546875" bestFit="1" customWidth="1"/>
    <col min="3" max="3" width="14" bestFit="1" customWidth="1"/>
    <col min="4" max="9" width="10.85546875" customWidth="1"/>
  </cols>
  <sheetData>
    <row r="1" spans="1:9" ht="20.25" customHeight="1" x14ac:dyDescent="0.2">
      <c r="A1" s="729" t="s">
        <v>115</v>
      </c>
      <c r="B1" s="729"/>
      <c r="C1" s="729"/>
      <c r="D1" s="729"/>
      <c r="E1" s="729"/>
      <c r="F1" s="729"/>
      <c r="G1" s="729"/>
      <c r="H1" s="729"/>
      <c r="I1" s="729"/>
    </row>
    <row r="2" spans="1:9" x14ac:dyDescent="0.2">
      <c r="A2" s="4" t="s">
        <v>116</v>
      </c>
      <c r="B2" s="4"/>
      <c r="C2" s="516" t="str">
        <f>CONCATENATE('Personnel Yr 1'!B7, IF(OR(ISBLANK('Personnel Yr 1'!B7),'Personnel Yr 1'!B7=""),""," "),'Personnel Yr 1'!C7, " ",'Personnel Yr 1'!D7,IF(OR(ISBLANK('Personnel Yr 1'!D7),'Personnel Yr 1'!D7=""),""," "),'Personnel Yr 1'!E7," ",'Personnel Yr 1'!F7)</f>
        <v xml:space="preserve">  </v>
      </c>
      <c r="D2" s="516"/>
      <c r="E2" s="9" t="s">
        <v>203</v>
      </c>
      <c r="F2" s="9">
        <f>'Personnel Yr 1'!O4</f>
        <v>0</v>
      </c>
      <c r="H2" s="4" t="s">
        <v>94</v>
      </c>
      <c r="I2" s="58">
        <f>'Personnel Yr 1'!I5</f>
        <v>0</v>
      </c>
    </row>
    <row r="3" spans="1:9" ht="14.25" x14ac:dyDescent="0.2">
      <c r="A3" s="730" t="s">
        <v>117</v>
      </c>
      <c r="B3" s="730"/>
      <c r="C3" s="61"/>
      <c r="D3" s="62"/>
      <c r="E3" s="62"/>
      <c r="F3" s="62"/>
      <c r="G3" s="62"/>
      <c r="H3" s="62"/>
      <c r="I3" s="62"/>
    </row>
    <row r="4" spans="1:9" x14ac:dyDescent="0.2">
      <c r="A4" s="63" t="s">
        <v>118</v>
      </c>
      <c r="B4" s="415" t="s">
        <v>386</v>
      </c>
      <c r="C4" s="63" t="s">
        <v>119</v>
      </c>
      <c r="D4" s="416" t="s">
        <v>32</v>
      </c>
      <c r="E4" s="416" t="s">
        <v>33</v>
      </c>
      <c r="F4" s="416" t="s">
        <v>34</v>
      </c>
      <c r="G4" s="416" t="s">
        <v>35</v>
      </c>
      <c r="H4" s="416" t="s">
        <v>36</v>
      </c>
      <c r="I4" s="416" t="s">
        <v>37</v>
      </c>
    </row>
    <row r="5" spans="1:9" x14ac:dyDescent="0.2">
      <c r="A5" s="701" t="str">
        <f>CONCATENATE('Personnel Yr 1'!B7, IF(OR(ISBLANK('Personnel Yr 1'!B7),'Personnel Yr 1'!B7=""),""," "),'Personnel Yr 1'!C7, " ",'Personnel Yr 1'!D7,IF(OR(ISBLANK('Personnel Yr 1'!D7),'Personnel Yr 1'!D7=""),""," "),'Personnel Yr 1'!E7," ",'Personnel Yr 1'!F7)</f>
        <v xml:space="preserve">  </v>
      </c>
      <c r="B5" s="701"/>
      <c r="C5" s="66"/>
      <c r="D5" s="67"/>
      <c r="E5" s="67"/>
      <c r="F5" s="67"/>
      <c r="G5" s="67"/>
      <c r="H5" s="67"/>
      <c r="I5" s="67"/>
    </row>
    <row r="6" spans="1:9" x14ac:dyDescent="0.2">
      <c r="A6" s="244" t="s">
        <v>65</v>
      </c>
      <c r="B6" s="265">
        <f>(D6/17)*D48</f>
        <v>0</v>
      </c>
      <c r="C6" s="68"/>
      <c r="D6" s="69">
        <f>ROUND(('Personnel Yr 1'!T7),0)</f>
        <v>0</v>
      </c>
      <c r="E6" s="69">
        <f>IF(OR(ISBLANK('Personnel Yr 2'!S7),'Personnel Yr 2'!S7=""),0,ROUND(('Personnel Yr 2'!S7),0))</f>
        <v>0</v>
      </c>
      <c r="F6" s="69">
        <f>IF(OR(ISBLANK('Personnel Yr 3'!S7),'Personnel Yr 3'!S7=""),0,ROUND(('Personnel Yr 3'!S7),0))</f>
        <v>0</v>
      </c>
      <c r="G6" s="69">
        <f>IF(OR(ISBLANK('Personnel Yr 4'!S7),'Personnel Yr 4'!S7=""),0,ROUND(('Personnel Yr 4'!S7),0))</f>
        <v>0</v>
      </c>
      <c r="H6" s="69">
        <f>IF(OR(ISBLANK('Personnel Yr 5'!S7),'Personnel Yr 5'!S7=""),0,ROUND(('Personnel Yr 5'!S7),0))</f>
        <v>0</v>
      </c>
      <c r="I6" s="69">
        <f>SUM(D6:H6)</f>
        <v>0</v>
      </c>
    </row>
    <row r="7" spans="1:9" x14ac:dyDescent="0.2">
      <c r="A7" s="244" t="s">
        <v>120</v>
      </c>
      <c r="B7" s="265">
        <f>(D7/17)*D51</f>
        <v>0</v>
      </c>
      <c r="C7" s="68"/>
      <c r="D7" s="69">
        <f>ROUND(('Personnel Yr 1'!S7),0)</f>
        <v>0</v>
      </c>
      <c r="E7" s="69">
        <f>IF(OR(ISBLANK('Personnel Yr 2'!R7),'Personnel Yr 2'!R7=""),0,ROUND(('Personnel Yr 2'!R7),0))</f>
        <v>0</v>
      </c>
      <c r="F7" s="69">
        <f>IF(OR(ISBLANK('Personnel Yr 3'!R7),'Personnel Yr 3'!R7=""),0,ROUND(('Personnel Yr 3'!R7),0))</f>
        <v>0</v>
      </c>
      <c r="G7" s="69">
        <f>IF(OR(ISBLANK('Personnel Yr 4'!R7),'Personnel Yr 4'!R7=""),0,ROUND(('Personnel Yr 4'!R7),0))</f>
        <v>0</v>
      </c>
      <c r="H7" s="69">
        <f>IF(OR(ISBLANK('Personnel Yr 5'!R7),'Personnel Yr 5'!R7=""),0,ROUND(('Personnel Yr 5'!R7),0))</f>
        <v>0</v>
      </c>
      <c r="I7" s="69">
        <f>SUM(D7:H7)</f>
        <v>0</v>
      </c>
    </row>
    <row r="8" spans="1:9" x14ac:dyDescent="0.2">
      <c r="A8" s="244" t="s">
        <v>121</v>
      </c>
      <c r="B8" s="263"/>
      <c r="C8" s="68"/>
      <c r="D8" s="69">
        <f>ROUND(('Personnel Yr 1'!R7),0)</f>
        <v>0</v>
      </c>
      <c r="E8" s="69">
        <f>IF(OR(ISBLANK('Personnel Yr 2'!Q7),'Personnel Yr 2'!Q7=""),0,ROUND(('Personnel Yr 2'!Q7),0))</f>
        <v>0</v>
      </c>
      <c r="F8" s="69">
        <f>IF(OR(ISBLANK('Personnel Yr 3'!Q7),'Personnel Yr 3'!Q7=""),0,ROUND(('Personnel Yr 3'!Q7),0))</f>
        <v>0</v>
      </c>
      <c r="G8" s="69">
        <f>IF(OR(ISBLANK('Personnel Yr 4'!Q7),'Personnel Yr 4'!Q7=""),0,ROUND(('Personnel Yr 4'!Q7),0))</f>
        <v>0</v>
      </c>
      <c r="H8" s="69">
        <f>IF(OR(ISBLANK('Personnel Yr 5'!Q7),'Personnel Yr 5'!Q7=""),0,ROUND(('Personnel Yr 5'!Q7),0))</f>
        <v>0</v>
      </c>
      <c r="I8" s="69">
        <f>SUM(D8:H8)</f>
        <v>0</v>
      </c>
    </row>
    <row r="9" spans="1:9" x14ac:dyDescent="0.2">
      <c r="A9" s="727" t="str">
        <f>CONCATENATE('Personnel Yr 1'!B8, IF(OR(ISBLANK('Personnel Yr 1'!B8),'Personnel Yr 1'!B8=""),""," "),'Personnel Yr 1'!C8, " ",'Personnel Yr 1'!D8,IF(OR(ISBLANK('Personnel Yr 1'!D8),'Personnel Yr 1'!D8=""),""," "),'Personnel Yr 1'!E8," ",'Personnel Yr 1'!F8)</f>
        <v xml:space="preserve">  </v>
      </c>
      <c r="B9" s="728"/>
      <c r="C9" s="70"/>
      <c r="D9" s="70"/>
      <c r="E9" s="71"/>
      <c r="F9" s="71"/>
      <c r="G9" s="71"/>
      <c r="H9" s="71"/>
      <c r="I9" s="72"/>
    </row>
    <row r="10" spans="1:9" x14ac:dyDescent="0.2">
      <c r="A10" s="244" t="s">
        <v>65</v>
      </c>
      <c r="B10" s="265">
        <f>(D10/17)*D55</f>
        <v>0</v>
      </c>
      <c r="C10" s="68"/>
      <c r="D10" s="69">
        <f>ROUND(('Personnel Yr 1'!T8),0)</f>
        <v>0</v>
      </c>
      <c r="E10" s="69">
        <f>IF(OR(ISBLANK('Personnel Yr 2'!S8),'Personnel Yr 2'!S8=""),0,ROUND(('Personnel Yr 2'!S8),0))</f>
        <v>0</v>
      </c>
      <c r="F10" s="69">
        <f>IF(OR(ISBLANK('Personnel Yr 3'!S8),'Personnel Yr 3'!S8=""),0,ROUND(('Personnel Yr 3'!S8),0))</f>
        <v>0</v>
      </c>
      <c r="G10" s="69">
        <f>IF(OR(ISBLANK('Personnel Yr 4'!S8),'Personnel Yr 4'!S8=""),0,ROUND(('Personnel Yr 4'!S8),0))</f>
        <v>0</v>
      </c>
      <c r="H10" s="69">
        <f>IF(OR(ISBLANK('Personnel Yr 5'!S8),'Personnel Yr 5'!S8=""),0,ROUND(('Personnel Yr 5'!S8),0))</f>
        <v>0</v>
      </c>
      <c r="I10" s="69">
        <f>SUM(D10:H10)</f>
        <v>0</v>
      </c>
    </row>
    <row r="11" spans="1:9" x14ac:dyDescent="0.2">
      <c r="A11" s="244" t="s">
        <v>120</v>
      </c>
      <c r="B11" s="265">
        <f>(D11/17)*D58</f>
        <v>0</v>
      </c>
      <c r="C11" s="68"/>
      <c r="D11" s="69">
        <f>ROUND(('Personnel Yr 1'!S8),0)</f>
        <v>0</v>
      </c>
      <c r="E11" s="69">
        <f>IF(OR(ISBLANK('Personnel Yr 2'!R8),'Personnel Yr 2'!R8=""),0,ROUND(('Personnel Yr 2'!R8),0))</f>
        <v>0</v>
      </c>
      <c r="F11" s="69">
        <f>IF(OR(ISBLANK('Personnel Yr 3'!R8),'Personnel Yr 3'!R8=""),0,ROUND(('Personnel Yr 3'!R8),0))</f>
        <v>0</v>
      </c>
      <c r="G11" s="69">
        <f>IF(OR(ISBLANK('Personnel Yr 4'!R8),'Personnel Yr 4'!R8=""),0,ROUND(('Personnel Yr 4'!R8),0))</f>
        <v>0</v>
      </c>
      <c r="H11" s="69">
        <f>IF(OR(ISBLANK('Personnel Yr 5'!R8),'Personnel Yr 5'!R8=""),0,ROUND(('Personnel Yr 5'!R8),0))</f>
        <v>0</v>
      </c>
      <c r="I11" s="69">
        <f>SUM(D11:H11)</f>
        <v>0</v>
      </c>
    </row>
    <row r="12" spans="1:9" x14ac:dyDescent="0.2">
      <c r="A12" s="244" t="s">
        <v>121</v>
      </c>
      <c r="B12" s="263"/>
      <c r="C12" s="68"/>
      <c r="D12" s="69">
        <f>ROUND(('Personnel Yr 1'!R8),0)</f>
        <v>0</v>
      </c>
      <c r="E12" s="69">
        <f>IF(OR(ISBLANK('Personnel Yr 2'!Q8),'Personnel Yr 2'!Q8=""),0,ROUND(('Personnel Yr 2'!Q8),0))</f>
        <v>0</v>
      </c>
      <c r="F12" s="69">
        <f>IF(OR(ISBLANK('Personnel Yr 3'!Q8),'Personnel Yr 3'!Q8=""),0,ROUND(('Personnel Yr 3'!Q8),0))</f>
        <v>0</v>
      </c>
      <c r="G12" s="69">
        <f>IF(OR(ISBLANK('Personnel Yr 4'!Q8),'Personnel Yr 4'!Q8=""),0,ROUND(('Personnel Yr 4'!Q8),0))</f>
        <v>0</v>
      </c>
      <c r="H12" s="69">
        <f>IF(OR(ISBLANK('Personnel Yr 5'!Q8),'Personnel Yr 5'!Q8=""),0,ROUND(('Personnel Yr 5'!Q8),0))</f>
        <v>0</v>
      </c>
      <c r="I12" s="69">
        <f>SUM(D12:H12)</f>
        <v>0</v>
      </c>
    </row>
    <row r="13" spans="1:9" x14ac:dyDescent="0.2">
      <c r="A13" s="727" t="str">
        <f>CONCATENATE('Personnel Yr 1'!B9, IF(OR(ISBLANK('Personnel Yr 1'!B9),'Personnel Yr 1'!B9=""),""," "),'Personnel Yr 1'!C9, " ",'Personnel Yr 1'!D9,IF(OR(ISBLANK('Personnel Yr 1'!D9),'Personnel Yr 1'!D9=""),""," "),'Personnel Yr 1'!E9," ",'Personnel Yr 1'!F9)</f>
        <v xml:space="preserve">  </v>
      </c>
      <c r="B13" s="728"/>
      <c r="C13" s="70"/>
      <c r="D13" s="70"/>
      <c r="E13" s="71"/>
      <c r="F13" s="71"/>
      <c r="G13" s="71"/>
      <c r="H13" s="71"/>
      <c r="I13" s="72"/>
    </row>
    <row r="14" spans="1:9" x14ac:dyDescent="0.2">
      <c r="A14" s="244" t="s">
        <v>65</v>
      </c>
      <c r="B14" s="265">
        <f>(D14/17)*D62</f>
        <v>0</v>
      </c>
      <c r="C14" s="68"/>
      <c r="D14" s="69">
        <f>ROUND(('Personnel Yr 1'!T9),0)</f>
        <v>0</v>
      </c>
      <c r="E14" s="69">
        <f>IF(OR(ISBLANK('Personnel Yr 2'!S9),'Personnel Yr 2'!S9=""),0,ROUND(('Personnel Yr 2'!S9),0))</f>
        <v>0</v>
      </c>
      <c r="F14" s="69">
        <f>IF(OR(ISBLANK('Personnel Yr 3'!S9),'Personnel Yr 3'!S9=""),0,ROUND(('Personnel Yr 3'!S9),0))</f>
        <v>0</v>
      </c>
      <c r="G14" s="69">
        <f>IF(OR(ISBLANK('Personnel Yr 4'!S9),'Personnel Yr 4'!S9=""),0,ROUND(('Personnel Yr 4'!S9),0))</f>
        <v>0</v>
      </c>
      <c r="H14" s="69">
        <f>IF(OR(ISBLANK('Personnel Yr 5'!S9),'Personnel Yr 5'!S9=""),0,ROUND(('Personnel Yr 5'!S9),0))</f>
        <v>0</v>
      </c>
      <c r="I14" s="69">
        <f>SUM(D14:H14)</f>
        <v>0</v>
      </c>
    </row>
    <row r="15" spans="1:9" x14ac:dyDescent="0.2">
      <c r="A15" s="244" t="s">
        <v>120</v>
      </c>
      <c r="B15" s="265">
        <f>(D15/17)*D65</f>
        <v>0</v>
      </c>
      <c r="C15" s="68"/>
      <c r="D15" s="69">
        <f>ROUND(('Personnel Yr 1'!S9),0)</f>
        <v>0</v>
      </c>
      <c r="E15" s="69">
        <f>IF(OR(ISBLANK('Personnel Yr 2'!R9),'Personnel Yr 2'!R9=""),0,ROUND(('Personnel Yr 2'!R9),0))</f>
        <v>0</v>
      </c>
      <c r="F15" s="69">
        <f>IF(OR(ISBLANK('Personnel Yr 3'!R9),'Personnel Yr 3'!R9=""),0,ROUND(('Personnel Yr 3'!R9),0))</f>
        <v>0</v>
      </c>
      <c r="G15" s="69">
        <f>IF(OR(ISBLANK('Personnel Yr 4'!R9),'Personnel Yr 4'!R9=""),0,ROUND(('Personnel Yr 4'!R9),0))</f>
        <v>0</v>
      </c>
      <c r="H15" s="69">
        <f>IF(OR(ISBLANK('Personnel Yr 5'!R9),'Personnel Yr 5'!R9=""),0,ROUND(('Personnel Yr 5'!R9),0))</f>
        <v>0</v>
      </c>
      <c r="I15" s="69">
        <f>SUM(D15:H15)</f>
        <v>0</v>
      </c>
    </row>
    <row r="16" spans="1:9" x14ac:dyDescent="0.2">
      <c r="A16" s="244" t="s">
        <v>121</v>
      </c>
      <c r="B16" s="263"/>
      <c r="C16" s="68"/>
      <c r="D16" s="69">
        <f>ROUND(('Personnel Yr 1'!R9),0)</f>
        <v>0</v>
      </c>
      <c r="E16" s="69">
        <f>IF(OR(ISBLANK('Personnel Yr 2'!Q9),'Personnel Yr 2'!Q9=""),0,ROUND(('Personnel Yr 2'!Q9),0))</f>
        <v>0</v>
      </c>
      <c r="F16" s="69">
        <f>IF(OR(ISBLANK('Personnel Yr 3'!Q9),'Personnel Yr 3'!Q9=""),0,ROUND(('Personnel Yr 3'!Q9),0))</f>
        <v>0</v>
      </c>
      <c r="G16" s="69">
        <f>IF(OR(ISBLANK('Personnel Yr 4'!Q9),'Personnel Yr 4'!Q9=""),0,ROUND(('Personnel Yr 4'!Q9),0))</f>
        <v>0</v>
      </c>
      <c r="H16" s="69">
        <f>IF(OR(ISBLANK('Personnel Yr 5'!Q9),'Personnel Yr 5'!Q9=""),0,ROUND(('Personnel Yr 5'!Q9),0))</f>
        <v>0</v>
      </c>
      <c r="I16" s="69">
        <f>SUM(D16:H16)</f>
        <v>0</v>
      </c>
    </row>
    <row r="17" spans="1:9" x14ac:dyDescent="0.2">
      <c r="A17" s="727" t="str">
        <f>CONCATENATE('Personnel Yr 1'!B10, IF(OR(ISBLANK('Personnel Yr 1'!B10),'Personnel Yr 1'!B10=""),""," "),'Personnel Yr 1'!C10, " ",'Personnel Yr 1'!D10,IF(OR(ISBLANK('Personnel Yr 1'!D10),'Personnel Yr 1'!D10=""),""," "),'Personnel Yr 1'!E10," ",'Personnel Yr 1'!F10)</f>
        <v xml:space="preserve">  </v>
      </c>
      <c r="B17" s="728"/>
      <c r="C17" s="70"/>
      <c r="D17" s="70"/>
      <c r="E17" s="71"/>
      <c r="F17" s="71"/>
      <c r="G17" s="71"/>
      <c r="H17" s="71"/>
      <c r="I17" s="72"/>
    </row>
    <row r="18" spans="1:9" x14ac:dyDescent="0.2">
      <c r="A18" s="244" t="s">
        <v>65</v>
      </c>
      <c r="B18" s="265">
        <f>(D18/17)*D69</f>
        <v>0</v>
      </c>
      <c r="C18" s="68"/>
      <c r="D18" s="69">
        <f>ROUND(('Personnel Yr 1'!T10),0)</f>
        <v>0</v>
      </c>
      <c r="E18" s="69">
        <f>IF(OR(ISBLANK('Personnel Yr 2'!S10),'Personnel Yr 2'!S10=""),0,ROUND(('Personnel Yr 2'!S10),0))</f>
        <v>0</v>
      </c>
      <c r="F18" s="69">
        <f>IF(OR(ISBLANK('Personnel Yr 3'!S10),'Personnel Yr 3'!S10=""),0,ROUND(('Personnel Yr 3'!S10),0))</f>
        <v>0</v>
      </c>
      <c r="G18" s="69">
        <f>IF(OR(ISBLANK('Personnel Yr 4'!S10),'Personnel Yr 4'!S10=""),0,ROUND(('Personnel Yr 4'!S10),0))</f>
        <v>0</v>
      </c>
      <c r="H18" s="69">
        <f>IF(OR(ISBLANK('Personnel Yr 5'!S10),'Personnel Yr 5'!S10=""),0,ROUND(('Personnel Yr 5'!S10),0))</f>
        <v>0</v>
      </c>
      <c r="I18" s="69">
        <f>SUM(D18:H18)</f>
        <v>0</v>
      </c>
    </row>
    <row r="19" spans="1:9" x14ac:dyDescent="0.2">
      <c r="A19" s="244" t="s">
        <v>120</v>
      </c>
      <c r="B19" s="265">
        <f>(D19/17)*D72</f>
        <v>0</v>
      </c>
      <c r="C19" s="68"/>
      <c r="D19" s="69">
        <f>ROUND(('Personnel Yr 1'!S10),0)</f>
        <v>0</v>
      </c>
      <c r="E19" s="69">
        <f>IF(OR(ISBLANK('Personnel Yr 2'!R10),'Personnel Yr 2'!R10=""),0,ROUND(('Personnel Yr 2'!R10),0))</f>
        <v>0</v>
      </c>
      <c r="F19" s="69">
        <f>IF(OR(ISBLANK('Personnel Yr 3'!R10),'Personnel Yr 3'!R10=""),0,ROUND(('Personnel Yr 3'!R10),0))</f>
        <v>0</v>
      </c>
      <c r="G19" s="69">
        <f>IF(OR(ISBLANK('Personnel Yr 4'!R10),'Personnel Yr 4'!R10=""),0,ROUND(('Personnel Yr 4'!R10),0))</f>
        <v>0</v>
      </c>
      <c r="H19" s="69">
        <f>IF(OR(ISBLANK('Personnel Yr 5'!R10),'Personnel Yr 5'!R10=""),0,ROUND(('Personnel Yr 5'!R10),0))</f>
        <v>0</v>
      </c>
      <c r="I19" s="69">
        <f>SUM(D19:H19)</f>
        <v>0</v>
      </c>
    </row>
    <row r="20" spans="1:9" x14ac:dyDescent="0.2">
      <c r="A20" s="244" t="s">
        <v>121</v>
      </c>
      <c r="B20" s="263"/>
      <c r="C20" s="68"/>
      <c r="D20" s="69">
        <f>ROUND(('Personnel Yr 1'!R10),0)</f>
        <v>0</v>
      </c>
      <c r="E20" s="69">
        <f>IF(OR(ISBLANK('Personnel Yr 2'!Q10),'Personnel Yr 2'!Q10=""),0,ROUND(('Personnel Yr 2'!Q10),0))</f>
        <v>0</v>
      </c>
      <c r="F20" s="69">
        <f>IF(OR(ISBLANK('Personnel Yr 3'!Q10),'Personnel Yr 3'!Q10=""),0,ROUND(('Personnel Yr 3'!Q10),0))</f>
        <v>0</v>
      </c>
      <c r="G20" s="69">
        <f>IF(OR(ISBLANK('Personnel Yr 4'!Q10),'Personnel Yr 4'!Q10=""),0,ROUND(('Personnel Yr 4'!Q10),0))</f>
        <v>0</v>
      </c>
      <c r="H20" s="69">
        <f>IF(OR(ISBLANK('Personnel Yr 5'!Q10),'Personnel Yr 5'!Q10=""),0,ROUND(('Personnel Yr 5'!Q10),0))</f>
        <v>0</v>
      </c>
      <c r="I20" s="69">
        <f>SUM(D20:H20)</f>
        <v>0</v>
      </c>
    </row>
    <row r="21" spans="1:9" x14ac:dyDescent="0.2">
      <c r="A21" s="727" t="str">
        <f>CONCATENATE('Personnel Yr 1'!B11, IF(OR(ISBLANK('Personnel Yr 1'!B11),'Personnel Yr 1'!B11=""),""," "),'Personnel Yr 1'!C11, " ",'Personnel Yr 1'!D11,IF(OR(ISBLANK('Personnel Yr 1'!D11),'Personnel Yr 1'!D11=""),""," "),'Personnel Yr 1'!E11," ",'Personnel Yr 1'!F11)</f>
        <v xml:space="preserve">  </v>
      </c>
      <c r="B21" s="728"/>
      <c r="C21" s="70"/>
      <c r="D21" s="70"/>
      <c r="E21" s="71"/>
      <c r="F21" s="71"/>
      <c r="G21" s="71"/>
      <c r="H21" s="71"/>
      <c r="I21" s="72"/>
    </row>
    <row r="22" spans="1:9" x14ac:dyDescent="0.2">
      <c r="A22" s="244" t="s">
        <v>65</v>
      </c>
      <c r="B22" s="265">
        <f>(D22/17)*D76</f>
        <v>0</v>
      </c>
      <c r="C22" s="68"/>
      <c r="D22" s="69">
        <f>ROUND(('Personnel Yr 1'!T11),0)</f>
        <v>0</v>
      </c>
      <c r="E22" s="69">
        <f>IF(OR(ISBLANK('Personnel Yr 2'!S11),'Personnel Yr 2'!S11=""),0,ROUND(('Personnel Yr 2'!S11),0))</f>
        <v>0</v>
      </c>
      <c r="F22" s="69">
        <f>IF(OR(ISBLANK('Personnel Yr 3'!S11),'Personnel Yr 3'!S11=""),0,ROUND(('Personnel Yr 3'!S11),0))</f>
        <v>0</v>
      </c>
      <c r="G22" s="69">
        <f>IF(OR(ISBLANK('Personnel Yr 4'!S11),'Personnel Yr 4'!S11=""),0,ROUND(('Personnel Yr 4'!S11),0))</f>
        <v>0</v>
      </c>
      <c r="H22" s="69">
        <f>IF(OR(ISBLANK('Personnel Yr 5'!S11),'Personnel Yr 5'!S11=""),0,ROUND(('Personnel Yr 5'!S11),0))</f>
        <v>0</v>
      </c>
      <c r="I22" s="69">
        <f>SUM(D22:H22)</f>
        <v>0</v>
      </c>
    </row>
    <row r="23" spans="1:9" x14ac:dyDescent="0.2">
      <c r="A23" s="244" t="s">
        <v>120</v>
      </c>
      <c r="B23" s="265">
        <f>(D23/17)*D79</f>
        <v>0</v>
      </c>
      <c r="C23" s="68"/>
      <c r="D23" s="69">
        <f>ROUND(('Personnel Yr 1'!S11),0)</f>
        <v>0</v>
      </c>
      <c r="E23" s="69">
        <f>IF(OR(ISBLANK('Personnel Yr 2'!R11),'Personnel Yr 2'!R11=""),0,ROUND(('Personnel Yr 2'!R11),0))</f>
        <v>0</v>
      </c>
      <c r="F23" s="69">
        <f>IF(OR(ISBLANK('Personnel Yr 3'!R11),'Personnel Yr 3'!R11=""),0,ROUND(('Personnel Yr 3'!R11),0))</f>
        <v>0</v>
      </c>
      <c r="G23" s="69">
        <f>IF(OR(ISBLANK('Personnel Yr 4'!R11),'Personnel Yr 4'!R11=""),0,ROUND(('Personnel Yr 4'!R11),0))</f>
        <v>0</v>
      </c>
      <c r="H23" s="69">
        <f>IF(OR(ISBLANK('Personnel Yr 5'!R11),'Personnel Yr 5'!R11=""),0,ROUND(('Personnel Yr 5'!R11),0))</f>
        <v>0</v>
      </c>
      <c r="I23" s="69">
        <f>SUM(D23:H23)</f>
        <v>0</v>
      </c>
    </row>
    <row r="24" spans="1:9" x14ac:dyDescent="0.2">
      <c r="A24" s="244" t="s">
        <v>121</v>
      </c>
      <c r="B24" s="263"/>
      <c r="C24" s="68"/>
      <c r="D24" s="69">
        <f>ROUND(('Personnel Yr 1'!R11),0)</f>
        <v>0</v>
      </c>
      <c r="E24" s="69">
        <f>IF(OR(ISBLANK('Personnel Yr 2'!Q11),'Personnel Yr 2'!Q11=""),0,ROUND(('Personnel Yr 2'!Q11),0))</f>
        <v>0</v>
      </c>
      <c r="F24" s="69">
        <f>IF(OR(ISBLANK('Personnel Yr 3'!Q11),'Personnel Yr 3'!Q11=""),0,ROUND(('Personnel Yr 3'!Q11),0))</f>
        <v>0</v>
      </c>
      <c r="G24" s="69">
        <f>IF(OR(ISBLANK('Personnel Yr 4'!Q11),'Personnel Yr 4'!Q11=""),0,ROUND(('Personnel Yr 4'!Q11),0))</f>
        <v>0</v>
      </c>
      <c r="H24" s="69">
        <f>IF(OR(ISBLANK('Personnel Yr 5'!Q11),'Personnel Yr 5'!Q11=""),0,ROUND(('Personnel Yr 5'!Q11),0))</f>
        <v>0</v>
      </c>
      <c r="I24" s="69">
        <f>SUM(D24:H24)</f>
        <v>0</v>
      </c>
    </row>
    <row r="25" spans="1:9" x14ac:dyDescent="0.2">
      <c r="A25" s="727" t="str">
        <f>CONCATENATE('Personnel Yr 1'!B12, IF(OR(ISBLANK('Personnel Yr 1'!B12),'Personnel Yr 1'!B12=""),""," "),'Personnel Yr 1'!C12, " ",'Personnel Yr 1'!D12,IF(OR(ISBLANK('Personnel Yr 1'!D12),'Personnel Yr 1'!D12=""),""," "),'Personnel Yr 1'!E12," ",'Personnel Yr 1'!F12)</f>
        <v xml:space="preserve">  </v>
      </c>
      <c r="B25" s="728"/>
      <c r="C25" s="63"/>
      <c r="D25" s="65"/>
      <c r="E25" s="73"/>
      <c r="F25" s="73"/>
      <c r="G25" s="73"/>
      <c r="H25" s="73"/>
      <c r="I25" s="74"/>
    </row>
    <row r="26" spans="1:9" x14ac:dyDescent="0.2">
      <c r="A26" s="244" t="s">
        <v>65</v>
      </c>
      <c r="B26" s="265">
        <f>(D26/17)*D83</f>
        <v>0</v>
      </c>
      <c r="C26" s="68"/>
      <c r="D26" s="69">
        <f>ROUND(('Personnel Yr 1'!T12),0)</f>
        <v>0</v>
      </c>
      <c r="E26" s="69">
        <f>IF(OR(ISBLANK('Personnel Yr 2'!S12),'Personnel Yr 2'!S12=""),0,ROUND(('Personnel Yr 2'!S12),0))</f>
        <v>0</v>
      </c>
      <c r="F26" s="69">
        <f>IF(OR(ISBLANK('Personnel Yr 3'!S12),'Personnel Yr 3'!S12=""),0,ROUND(('Personnel Yr 3'!S12),0))</f>
        <v>0</v>
      </c>
      <c r="G26" s="69">
        <f>IF(OR(ISBLANK('Personnel Yr 4'!S12),'Personnel Yr 4'!S12=""),0,ROUND(('Personnel Yr 4'!S12),0))</f>
        <v>0</v>
      </c>
      <c r="H26" s="69">
        <f>IF(OR(ISBLANK('Personnel Yr 5'!S12),'Personnel Yr 5'!S12=""),0,ROUND(('Personnel Yr 5'!S12),0))</f>
        <v>0</v>
      </c>
      <c r="I26" s="69">
        <f>SUM(D26:H26)</f>
        <v>0</v>
      </c>
    </row>
    <row r="27" spans="1:9" x14ac:dyDescent="0.2">
      <c r="A27" s="244" t="s">
        <v>120</v>
      </c>
      <c r="B27" s="265">
        <f>(D27/17)*D86</f>
        <v>0</v>
      </c>
      <c r="C27" s="68"/>
      <c r="D27" s="69">
        <f>ROUND(('Personnel Yr 1'!S12),0)</f>
        <v>0</v>
      </c>
      <c r="E27" s="69">
        <f>IF(OR(ISBLANK('Personnel Yr 2'!R12),'Personnel Yr 2'!R12=""),0,ROUND(('Personnel Yr 2'!R12),0))</f>
        <v>0</v>
      </c>
      <c r="F27" s="69">
        <f>IF(OR(ISBLANK('Personnel Yr 3'!R12),'Personnel Yr 3'!R12=""),0,ROUND(('Personnel Yr 3'!R12),0))</f>
        <v>0</v>
      </c>
      <c r="G27" s="69">
        <f>IF(OR(ISBLANK('Personnel Yr 4'!R12),'Personnel Yr 4'!R12=""),0,ROUND(('Personnel Yr 4'!R12),0))</f>
        <v>0</v>
      </c>
      <c r="H27" s="69">
        <f>IF(OR(ISBLANK('Personnel Yr 5'!R12),'Personnel Yr 5'!R12=""),0,ROUND(('Personnel Yr 5'!R12),0))</f>
        <v>0</v>
      </c>
      <c r="I27" s="69">
        <f>SUM(D27:H27)</f>
        <v>0</v>
      </c>
    </row>
    <row r="28" spans="1:9" x14ac:dyDescent="0.2">
      <c r="A28" s="244" t="s">
        <v>121</v>
      </c>
      <c r="B28" s="263"/>
      <c r="C28" s="68"/>
      <c r="D28" s="69">
        <f>ROUND(('Personnel Yr 1'!R12),0)</f>
        <v>0</v>
      </c>
      <c r="E28" s="69">
        <f>IF(OR(ISBLANK('Personnel Yr 2'!Q12),'Personnel Yr 2'!Q12=""),0,ROUND(('Personnel Yr 2'!Q12),0))</f>
        <v>0</v>
      </c>
      <c r="F28" s="69">
        <f>IF(OR(ISBLANK('Personnel Yr 3'!Q12),'Personnel Yr 3'!Q12=""),0,ROUND(('Personnel Yr 3'!Q12),0))</f>
        <v>0</v>
      </c>
      <c r="G28" s="69">
        <f>IF(OR(ISBLANK('Personnel Yr 4'!Q12),'Personnel Yr 4'!Q12=""),0,ROUND(('Personnel Yr 4'!Q12),0))</f>
        <v>0</v>
      </c>
      <c r="H28" s="69">
        <f>IF(OR(ISBLANK('Personnel Yr 5'!Q12),'Personnel Yr 5'!Q12=""),0,ROUND(('Personnel Yr 5'!Q12),0))</f>
        <v>0</v>
      </c>
      <c r="I28" s="69">
        <f>SUM(D28:H28)</f>
        <v>0</v>
      </c>
    </row>
    <row r="29" spans="1:9" x14ac:dyDescent="0.2">
      <c r="A29" s="727" t="str">
        <f>CONCATENATE('Personnel Yr 1'!B13, IF(OR(ISBLANK('Personnel Yr 1'!B13),'Personnel Yr 1'!B13=""),""," "),'Personnel Yr 1'!C13, " ",'Personnel Yr 1'!D13,IF(OR(ISBLANK('Personnel Yr 1'!D13),'Personnel Yr 1'!D13=""),""," "),'Personnel Yr 1'!E13," ",'Personnel Yr 1'!F13)</f>
        <v xml:space="preserve">  </v>
      </c>
      <c r="B29" s="728"/>
      <c r="C29" s="63"/>
      <c r="D29" s="70"/>
      <c r="E29" s="71"/>
      <c r="F29" s="71"/>
      <c r="G29" s="71"/>
      <c r="H29" s="71"/>
      <c r="I29" s="72"/>
    </row>
    <row r="30" spans="1:9" x14ac:dyDescent="0.2">
      <c r="A30" s="244" t="s">
        <v>65</v>
      </c>
      <c r="B30" s="265">
        <f>(D30/17)*D90</f>
        <v>0</v>
      </c>
      <c r="C30" s="68"/>
      <c r="D30" s="69">
        <f>ROUND(('Personnel Yr 1'!T13),0)</f>
        <v>0</v>
      </c>
      <c r="E30" s="69">
        <f>IF(OR(ISBLANK('Personnel Yr 2'!S13),'Personnel Yr 2'!S13=""),0,ROUND(('Personnel Yr 2'!S13),0))</f>
        <v>0</v>
      </c>
      <c r="F30" s="69">
        <f>IF(OR(ISBLANK('Personnel Yr 3'!S13),'Personnel Yr 3'!S13=""),0,ROUND(('Personnel Yr 3'!S13),0))</f>
        <v>0</v>
      </c>
      <c r="G30" s="69">
        <f>IF(OR(ISBLANK('Personnel Yr 4'!S13),'Personnel Yr 4'!S13=""),0,ROUND(('Personnel Yr 4'!S13),0))</f>
        <v>0</v>
      </c>
      <c r="H30" s="69">
        <f>IF(OR(ISBLANK('Personnel Yr 5'!S13),'Personnel Yr 5'!S13=""),0,ROUND(('Personnel Yr 5'!S13),0))</f>
        <v>0</v>
      </c>
      <c r="I30" s="69">
        <f>SUM(D30:H30)</f>
        <v>0</v>
      </c>
    </row>
    <row r="31" spans="1:9" x14ac:dyDescent="0.2">
      <c r="A31" s="244" t="s">
        <v>120</v>
      </c>
      <c r="B31" s="265">
        <f>(D31/17)*D93</f>
        <v>0</v>
      </c>
      <c r="C31" s="68"/>
      <c r="D31" s="69">
        <f>ROUND(('Personnel Yr 1'!S13),0)</f>
        <v>0</v>
      </c>
      <c r="E31" s="69">
        <f>IF(OR(ISBLANK('Personnel Yr 2'!R13),'Personnel Yr 2'!R13=""),0,ROUND(('Personnel Yr 2'!R13),0))</f>
        <v>0</v>
      </c>
      <c r="F31" s="69">
        <f>IF(OR(ISBLANK('Personnel Yr 3'!R13),'Personnel Yr 3'!R13=""),0,ROUND(('Personnel Yr 3'!R13),0))</f>
        <v>0</v>
      </c>
      <c r="G31" s="69">
        <f>IF(OR(ISBLANK('Personnel Yr 4'!R13),'Personnel Yr 4'!R13=""),0,ROUND(('Personnel Yr 4'!R13),0))</f>
        <v>0</v>
      </c>
      <c r="H31" s="69">
        <f>IF(OR(ISBLANK('Personnel Yr 5'!R13),'Personnel Yr 5'!R13=""),0,ROUND(('Personnel Yr 5'!R13),0))</f>
        <v>0</v>
      </c>
      <c r="I31" s="69">
        <f>SUM(D31:H31)</f>
        <v>0</v>
      </c>
    </row>
    <row r="32" spans="1:9" x14ac:dyDescent="0.2">
      <c r="A32" s="244" t="s">
        <v>121</v>
      </c>
      <c r="B32" s="263"/>
      <c r="C32" s="68"/>
      <c r="D32" s="69">
        <f>ROUND(('Personnel Yr 1'!R13),0)</f>
        <v>0</v>
      </c>
      <c r="E32" s="69">
        <f>IF(OR(ISBLANK('Personnel Yr 2'!Q13),'Personnel Yr 2'!Q13=""),0,ROUND(('Personnel Yr 2'!Q13),0))</f>
        <v>0</v>
      </c>
      <c r="F32" s="69">
        <f>IF(OR(ISBLANK('Personnel Yr 3'!Q13),'Personnel Yr 3'!Q13=""),0,ROUND(('Personnel Yr 3'!Q13),0))</f>
        <v>0</v>
      </c>
      <c r="G32" s="69">
        <f>IF(OR(ISBLANK('Personnel Yr 4'!Q13),'Personnel Yr 4'!Q13=""),0,ROUND(('Personnel Yr 4'!Q13),0))</f>
        <v>0</v>
      </c>
      <c r="H32" s="69">
        <f>IF(OR(ISBLANK('Personnel Yr 5'!Q13),'Personnel Yr 5'!Q13=""),0,ROUND(('Personnel Yr 5'!Q13),0))</f>
        <v>0</v>
      </c>
      <c r="I32" s="69">
        <f>SUM(D32:H32)</f>
        <v>0</v>
      </c>
    </row>
    <row r="33" spans="1:9" x14ac:dyDescent="0.2">
      <c r="A33" s="727" t="str">
        <f>CONCATENATE('Personnel Yr 1'!B14, IF(OR(ISBLANK('Personnel Yr 1'!B14),'Personnel Yr 1'!B14=""),""," "),'Personnel Yr 1'!C14, " ",'Personnel Yr 1'!D14,IF(OR(ISBLANK('Personnel Yr 1'!D14),'Personnel Yr 1'!D14=""),""," "),'Personnel Yr 1'!E14," ",'Personnel Yr 1'!F14)</f>
        <v xml:space="preserve">  </v>
      </c>
      <c r="B33" s="728"/>
      <c r="C33" s="63"/>
      <c r="D33" s="70"/>
      <c r="E33" s="71"/>
      <c r="F33" s="71"/>
      <c r="G33" s="71"/>
      <c r="H33" s="71"/>
      <c r="I33" s="72"/>
    </row>
    <row r="34" spans="1:9" x14ac:dyDescent="0.2">
      <c r="A34" s="244" t="s">
        <v>65</v>
      </c>
      <c r="B34" s="265">
        <f>(D34/17)*D97</f>
        <v>0</v>
      </c>
      <c r="C34" s="68"/>
      <c r="D34" s="69">
        <f>ROUND(('Personnel Yr 1'!T14),0)</f>
        <v>0</v>
      </c>
      <c r="E34" s="69">
        <f>IF(OR(ISBLANK('Personnel Yr 2'!S14),'Personnel Yr 2'!S14=""),0,ROUND(('Personnel Yr 2'!S14),0))</f>
        <v>0</v>
      </c>
      <c r="F34" s="69">
        <f>IF(OR(ISBLANK('Personnel Yr 3'!S14),'Personnel Yr 3'!S14=""),0,ROUND(('Personnel Yr 3'!S14),0))</f>
        <v>0</v>
      </c>
      <c r="G34" s="69">
        <f>IF(OR(ISBLANK('Personnel Yr 4'!S14),'Personnel Yr 4'!S14=""),0,ROUND(('Personnel Yr 4'!S14),0))</f>
        <v>0</v>
      </c>
      <c r="H34" s="69">
        <f>IF(OR(ISBLANK('Personnel Yr 5'!S14),'Personnel Yr 5'!S14=""),0,ROUND(('Personnel Yr 5'!S14),0))</f>
        <v>0</v>
      </c>
      <c r="I34" s="69">
        <f t="shared" ref="I34:I36" si="0">SUM(D34:H34)</f>
        <v>0</v>
      </c>
    </row>
    <row r="35" spans="1:9" x14ac:dyDescent="0.2">
      <c r="A35" s="244" t="s">
        <v>120</v>
      </c>
      <c r="B35" s="265">
        <f>(D35/17)*D100</f>
        <v>0</v>
      </c>
      <c r="C35" s="68"/>
      <c r="D35" s="69">
        <f>ROUND(('Personnel Yr 1'!S14),0)</f>
        <v>0</v>
      </c>
      <c r="E35" s="69">
        <f>IF(OR(ISBLANK('Personnel Yr 2'!R14),'Personnel Yr 2'!R14=""),0,ROUND(('Personnel Yr 2'!R14),0))</f>
        <v>0</v>
      </c>
      <c r="F35" s="69">
        <f>IF(OR(ISBLANK('Personnel Yr 3'!R14),'Personnel Yr 3'!R14=""),0,ROUND(('Personnel Yr 3'!R14),0))</f>
        <v>0</v>
      </c>
      <c r="G35" s="69">
        <f>IF(OR(ISBLANK('Personnel Yr 4'!R14),'Personnel Yr 4'!R14=""),0,ROUND(('Personnel Yr 4'!R14),0))</f>
        <v>0</v>
      </c>
      <c r="H35" s="69">
        <f>IF(OR(ISBLANK('Personnel Yr 5'!R14),'Personnel Yr 5'!R14=""),0,ROUND(('Personnel Yr 5'!R14),0))</f>
        <v>0</v>
      </c>
      <c r="I35" s="69">
        <f t="shared" si="0"/>
        <v>0</v>
      </c>
    </row>
    <row r="36" spans="1:9" ht="13.5" thickBot="1" x14ac:dyDescent="0.25">
      <c r="A36" s="245" t="s">
        <v>121</v>
      </c>
      <c r="B36" s="266"/>
      <c r="C36" s="142"/>
      <c r="D36" s="143">
        <f>ROUND(('Personnel Yr 1'!R14),0)</f>
        <v>0</v>
      </c>
      <c r="E36" s="143">
        <f>IF(OR(ISBLANK('Personnel Yr 2'!Q14),'Personnel Yr 2'!Q14=""),0,ROUND(('Personnel Yr 2'!Q14),0))</f>
        <v>0</v>
      </c>
      <c r="F36" s="143">
        <f>IF(OR(ISBLANK('Personnel Yr 3'!Q14),'Personnel Yr 3'!Q14=""),0,ROUND(('Personnel Yr 3'!Q14),0))</f>
        <v>0</v>
      </c>
      <c r="G36" s="143">
        <f>IF(OR(ISBLANK('Personnel Yr 4'!Q14),'Personnel Yr 4'!Q14=""),0,ROUND(('Personnel Yr 4'!Q14),0))</f>
        <v>0</v>
      </c>
      <c r="H36" s="143">
        <f>IF(OR(ISBLANK('Personnel Yr 5'!Q14),'Personnel Yr 5'!Q14=""),0,ROUND(('Personnel Yr 5'!Q14),0))</f>
        <v>0</v>
      </c>
      <c r="I36" s="143">
        <f t="shared" si="0"/>
        <v>0</v>
      </c>
    </row>
    <row r="37" spans="1:9" ht="13.5" customHeight="1" thickTop="1" x14ac:dyDescent="0.2">
      <c r="A37" s="733" t="s">
        <v>566</v>
      </c>
      <c r="B37" s="734"/>
      <c r="C37" s="219" t="s">
        <v>123</v>
      </c>
      <c r="D37" s="76">
        <f>SUMIF('Personnel Yr 1'!H7:H14,"Tenure/Track Faculty - Acad/Sum",'Personnel Yr 1'!S7:S14) + SUMIF('Personnel Yr 1'!H20:H34,"Tenure/Track Faculty - Acad/Sum",'Personnel Yr 1'!S20:S34)</f>
        <v>0</v>
      </c>
      <c r="E37" s="76">
        <f>SUMIF('Personnel Yr 2'!H7:H14,"Tenure/Track Faculty - Acad/Sum",'Personnel Yr 2'!R7:R14) + SUMIF('Personnel Yr 2'!H20:H34,"Tenure/Track Faculty - Acad/Sum",'Personnel Yr 2'!R20:R34)</f>
        <v>0</v>
      </c>
      <c r="F37" s="76">
        <f>SUMIF('Personnel Yr 3'!H7:H14,"Tenure/Track Faculty - Acad/Sum",'Personnel Yr 3'!R7:R14) + SUMIF('Personnel Yr 3'!H20:H34,"Tenure/Track Faculty - Acad/Sum",'Personnel Yr 3'!R20:R34)</f>
        <v>0</v>
      </c>
      <c r="G37" s="76">
        <f>SUMIF('Personnel Yr 4'!H7:H14,"Tenure/Track Faculty - Acad/Sum",'Personnel Yr 4'!R7:R14) + SUMIF('Personnel Yr 4'!H20:H34,"Tenure/Track Faculty - Acad/Sum",'Personnel Yr 4'!R20:R34)</f>
        <v>0</v>
      </c>
      <c r="H37" s="76">
        <f>SUMIF('Personnel Yr 5'!H7:H14,"Tenure/Track Faculty - Acad/Sum",'Personnel Yr 5'!R7:R14) + SUMIF('Personnel Yr 5'!H20:H34,"Tenure/Track Faculty - Acad/Sum",'Personnel Yr 5'!R20:R34)</f>
        <v>0</v>
      </c>
      <c r="I37" s="151">
        <f t="shared" ref="I37:I44" si="1">SUM(D37:H37)</f>
        <v>0</v>
      </c>
    </row>
    <row r="38" spans="1:9" ht="13.5" customHeight="1" x14ac:dyDescent="0.2">
      <c r="A38" s="731" t="s">
        <v>565</v>
      </c>
      <c r="B38" s="732"/>
      <c r="C38" s="75" t="s">
        <v>122</v>
      </c>
      <c r="D38" s="76">
        <f>SUMIF('Personnel Yr 1'!H7:H14,"Tenure/Track Faculty - Acad/Sum",'Personnel Yr 1'!T7:T14) + SUMIF('Personnel Yr 1'!H20:H34,"Tenure/Track Faculty - Acad/Sum",'Personnel Yr 1'!T20:T34)</f>
        <v>0</v>
      </c>
      <c r="E38" s="76">
        <f>SUMIF('Personnel Yr 2'!H7:H14,"Tenure/Track Faculty - Acad/Sum",'Personnel Yr 2'!S7:S14) + SUMIF('Personnel Yr 2'!H20:H34,"Tenure/Track Faculty - Acad/Sum",'Personnel Yr 2'!S20:S34)</f>
        <v>0</v>
      </c>
      <c r="F38" s="76">
        <f>SUMIF('Personnel Yr 3'!H7:H14,"Tenure/Track Faculty - Acad/Sum",'Personnel Yr 3'!S7:S14) + SUMIF('Personnel Yr 3'!H20:H34,"Tenure/Track Faculty - Acad/Sum",'Personnel Yr 3'!S20:S34)</f>
        <v>0</v>
      </c>
      <c r="G38" s="76">
        <f>SUMIF('Personnel Yr 4'!H7:H14,"Tenure/Track Faculty - Acad/Sum",'Personnel Yr 4'!S7:S14) + SUMIF('Personnel Yr 4'!H20:H34,"Tenure/Track Faculty - Acad/Sum",'Personnel Yr 4'!S20:S34)</f>
        <v>0</v>
      </c>
      <c r="H38" s="76">
        <f>SUMIF('Personnel Yr 5'!H7:H14,"Tenure/Track Faculty - Acad/Sum",'Personnel Yr 5'!S7:S14) + SUMIF('Personnel Yr 5'!H20:H34,"Tenure/Track Faculty - Acad/Sum",'Personnel Yr 5'!S20:S34)</f>
        <v>0</v>
      </c>
      <c r="I38" s="77">
        <f t="shared" si="1"/>
        <v>0</v>
      </c>
    </row>
    <row r="39" spans="1:9" ht="13.5" customHeight="1" x14ac:dyDescent="0.2">
      <c r="A39" s="731" t="s">
        <v>567</v>
      </c>
      <c r="B39" s="732"/>
      <c r="C39" s="75" t="s">
        <v>564</v>
      </c>
      <c r="D39" s="76">
        <f>SUMIFS('Personnel Yr 1'!R7:R14,'Personnel Yr 1'!H7:H14,"Tenure/Track Faculty - Calendar") + SUMIFS('Personnel Yr 1'!R20:R34,'Personnel Yr 1'!H20:H34,"Tenure/Track Faculty - Calendar")</f>
        <v>0</v>
      </c>
      <c r="E39" s="76">
        <f>SUMIFS('Personnel Yr 2'!Q7:Q14,'Personnel Yr 2'!H7:H14,"Tenure/Track Faculty - Calendar") + SUMIFS('Personnel Yr 2'!Q20:Q34,'Personnel Yr 2'!H20:H34,"Tenure/Track Faculty - Calendar")</f>
        <v>0</v>
      </c>
      <c r="F39" s="76">
        <f>SUMIFS('Personnel Yr 3'!Q7:Q14,'Personnel Yr 3'!H7:H14,"Tenure/Track Faculty - Calendar") + SUMIFS('Personnel Yr 3'!Q20:Q34,'Personnel Yr 3'!H20:H34,"Tenure/Track Faculty - Calendar")</f>
        <v>0</v>
      </c>
      <c r="G39" s="76">
        <f>SUMIFS('Personnel Yr 4'!Q7:Q14,'Personnel Yr 4'!H7:H14,"Tenure/Track Faculty - Calendar") + SUMIFS('Personnel Yr 4'!Q20:Q34,'Personnel Yr 4'!H20:H34,"Tenure/Track Faculty - Calendar")</f>
        <v>0</v>
      </c>
      <c r="H39" s="76">
        <f>SUMIFS('Personnel Yr 5'!Q7:Q14,'Personnel Yr 5'!H7:H14,"Tenure/Track Faculty - Calendar") + SUMIFS('Personnel Yr 5'!Q20:Q34,'Personnel Yr 5'!H20:H34,"Tenure/Track Faculty - Calendar")</f>
        <v>0</v>
      </c>
      <c r="I39" s="77">
        <f t="shared" si="1"/>
        <v>0</v>
      </c>
    </row>
    <row r="40" spans="1:9" x14ac:dyDescent="0.2">
      <c r="A40" s="731" t="s">
        <v>647</v>
      </c>
      <c r="B40" s="732"/>
      <c r="C40" s="75" t="s">
        <v>534</v>
      </c>
      <c r="D40" s="76">
        <f>SUMIF('Personnel Yr 1'!H7:H34,"Non-Tenure Track Faculty - Full Time",'Personnel Yr 1'!M7:M34)</f>
        <v>0</v>
      </c>
      <c r="E40" s="76">
        <f>SUMIF('Personnel Yr 2'!H7:H34,"Non-Tenure Track Faculty - Full Time",'Personnel Yr 2'!M7:M34)</f>
        <v>0</v>
      </c>
      <c r="F40" s="76">
        <f>SUMIF('Personnel Yr 3'!H7:H34,"Non-Tenure Track Faculty - Full Time",'Personnel Yr 3'!M7:M34)</f>
        <v>0</v>
      </c>
      <c r="G40" s="76">
        <f>SUMIF('Personnel Yr 4'!H7:H34,"Non-Tenure Track Faculty - Full Time",'Personnel Yr 4'!M7:M34)</f>
        <v>0</v>
      </c>
      <c r="H40" s="76">
        <f>SUMIF('Personnel Yr 5'!H7:H34,"Non-Tenure Track Faculty - Full Time",'Personnel Yr 5'!M7:M34)</f>
        <v>0</v>
      </c>
      <c r="I40" s="77">
        <f t="shared" si="1"/>
        <v>0</v>
      </c>
    </row>
    <row r="41" spans="1:9" x14ac:dyDescent="0.2">
      <c r="A41" s="731" t="s">
        <v>646</v>
      </c>
      <c r="B41" s="732"/>
      <c r="C41" s="75" t="s">
        <v>535</v>
      </c>
      <c r="D41" s="76">
        <f>SUMIF('Personnel Yr 1'!H7:H34,"Non-Tenure Track Faculty - Hourly",'Personnel Yr 1'!M7:M34)</f>
        <v>0</v>
      </c>
      <c r="E41" s="76">
        <f>SUMIF('Personnel Yr 2'!H7:H14,"Non-Tenure Track Faculty - Hourly",'Personnel Yr 2'!M7:M14)</f>
        <v>0</v>
      </c>
      <c r="F41" s="76">
        <f>SUMIF('Personnel Yr 3'!H7:H14,"Non-Tenure Track Faculty - Hourly",'Personnel Yr 3'!M7:M14)</f>
        <v>0</v>
      </c>
      <c r="G41" s="76">
        <f>SUMIF('Personnel Yr 4'!H7:H14,"Non-Tenure Track Faculty - Hourly",'Personnel Yr 4'!M7:M14)</f>
        <v>0</v>
      </c>
      <c r="H41" s="76">
        <f>SUMIF('Personnel Yr 5'!H7:H14,"Non-Tenure Track Faculty - Hourly",'Personnel Yr 5'!M7:M14)</f>
        <v>0</v>
      </c>
      <c r="I41" s="77">
        <f t="shared" si="1"/>
        <v>0</v>
      </c>
    </row>
    <row r="42" spans="1:9" x14ac:dyDescent="0.2">
      <c r="A42" s="731" t="s">
        <v>648</v>
      </c>
      <c r="B42" s="732"/>
      <c r="C42" s="75" t="s">
        <v>533</v>
      </c>
      <c r="D42" s="76">
        <f>SUMIF('Personnel Yr 1'!H7:H34,"Senior Research Associate (Staff)",'Personnel Yr 1'!M7:M34)</f>
        <v>0</v>
      </c>
      <c r="E42" s="76">
        <f>SUMIF('Personnel Yr 2'!H7:H34,"Senior Research Associate (Staff)",'Personnel Yr 2'!M7:M34)</f>
        <v>0</v>
      </c>
      <c r="F42" s="76">
        <f>SUMIF('Personnel Yr 3'!H7:H34,"Senior Research Associate (Staff)",'Personnel Yr 3'!M7:M34)</f>
        <v>0</v>
      </c>
      <c r="G42" s="76">
        <f>SUMIF('Personnel Yr 4'!H7:H34,"Senior Research Associate (Staff)",'Personnel Yr 4'!M7:M34)</f>
        <v>0</v>
      </c>
      <c r="H42" s="76">
        <f>SUMIF('Personnel Yr 5'!H7:H34,"Senior Research Associate (Staff)",'Personnel Yr 5'!M7:M34)</f>
        <v>0</v>
      </c>
      <c r="I42" s="77">
        <f t="shared" si="1"/>
        <v>0</v>
      </c>
    </row>
    <row r="43" spans="1:9" ht="13.5" customHeight="1" x14ac:dyDescent="0.2">
      <c r="A43" s="731" t="s">
        <v>649</v>
      </c>
      <c r="B43" s="732"/>
      <c r="C43" s="274" t="s">
        <v>400</v>
      </c>
      <c r="D43" s="76">
        <f>SUMIF('Personnel Yr 1'!H7:H14,"Qualified Staff Non-Ph.D.",'Personnel Yr 1'!R7:R14) + SUMIF('Personnel Yr 1'!H20:H34,"Qualified Staff Non-Ph.D.",'Personnel Yr 1'!R20:R34)</f>
        <v>0</v>
      </c>
      <c r="E43" s="76">
        <f>SUMIF('Personnel Yr 2'!H7:H14,"Qualified Staff Non-Ph.D.",'Personnel Yr 2'!Q7:Q14) + SUMIF('Personnel Yr 2'!H20:H34,"Qualified Staff Non-Ph.D.",'Personnel Yr 2'!Q20:Q34)</f>
        <v>0</v>
      </c>
      <c r="F43" s="76">
        <f>SUMIF('Personnel Yr 3'!H7:H14,"Qualified Staff Non-Ph.D.",'Personnel Yr 3'!Q7:Q14) + SUMIF('Personnel Yr 3'!H20:H34,"Qualified Staff Non-Ph.D.",'Personnel Yr 3'!Q20:Q34)</f>
        <v>0</v>
      </c>
      <c r="G43" s="76">
        <f>SUMIF('Personnel Yr 4'!H7:H14,"Qualified Staff Non-Ph.D.",'Personnel Yr 4'!Q7:Q14) + SUMIF('Personnel Yr 4'!H20:H34,"Qualified Staff Non-Ph.D.",'Personnel Yr 4'!Q20:Q34)</f>
        <v>0</v>
      </c>
      <c r="H43" s="76">
        <f>SUMIF('Personnel Yr 5'!H7:H14,"Qualified Staff Non-Ph.D.",'Personnel Yr 5'!Q7:Q14) + SUMIF('Personnel Yr 5'!H20:H34,"Qualified Staff Non-Ph.D.",'Personnel Yr 5'!Q20:Q34)</f>
        <v>0</v>
      </c>
      <c r="I43" s="77">
        <f t="shared" si="1"/>
        <v>0</v>
      </c>
    </row>
    <row r="44" spans="1:9" ht="13.5" customHeight="1" thickBot="1" x14ac:dyDescent="0.25">
      <c r="A44" s="705" t="s">
        <v>124</v>
      </c>
      <c r="B44" s="706"/>
      <c r="C44" s="78"/>
      <c r="D44" s="79">
        <f>SUM(D37:D43)</f>
        <v>0</v>
      </c>
      <c r="E44" s="79">
        <f t="shared" ref="E44:H44" si="2">SUM(E37:E43)</f>
        <v>0</v>
      </c>
      <c r="F44" s="79">
        <f t="shared" si="2"/>
        <v>0</v>
      </c>
      <c r="G44" s="79">
        <f t="shared" si="2"/>
        <v>0</v>
      </c>
      <c r="H44" s="79">
        <f t="shared" si="2"/>
        <v>0</v>
      </c>
      <c r="I44" s="79">
        <f t="shared" si="1"/>
        <v>0</v>
      </c>
    </row>
    <row r="45" spans="1:9" ht="13.5" thickTop="1" x14ac:dyDescent="0.2">
      <c r="A45" s="80"/>
      <c r="B45" s="81"/>
      <c r="C45" s="81"/>
      <c r="D45" s="81"/>
      <c r="E45" s="81"/>
      <c r="F45" s="81"/>
      <c r="G45" s="81"/>
      <c r="H45" s="81"/>
      <c r="I45" s="81"/>
    </row>
    <row r="46" spans="1:9" ht="15" x14ac:dyDescent="0.25">
      <c r="A46" s="735" t="s">
        <v>125</v>
      </c>
      <c r="B46" s="736"/>
      <c r="C46" s="64"/>
      <c r="D46" s="64"/>
      <c r="E46" s="64"/>
      <c r="F46" s="64"/>
      <c r="G46" s="64"/>
      <c r="H46" s="64"/>
      <c r="I46" s="64"/>
    </row>
    <row r="47" spans="1:9" x14ac:dyDescent="0.2">
      <c r="A47" s="695" t="str">
        <f>CONCATENATE('Personnel Yr 1'!B7, IF(OR(ISBLANK('Personnel Yr 1'!B7),'Personnel Yr 1'!B7=""),""," "),'Personnel Yr 1'!C7, " ",'Personnel Yr 1'!D7,IF(OR(ISBLANK('Personnel Yr 1'!D7),'Personnel Yr 1'!D7=""),""," "),'Personnel Yr 1'!E7," ",'Personnel Yr 1'!F7)</f>
        <v xml:space="preserve">  </v>
      </c>
      <c r="B47" s="695"/>
      <c r="C47" s="66" t="s">
        <v>119</v>
      </c>
      <c r="D47" s="82" t="s">
        <v>32</v>
      </c>
      <c r="E47" s="82" t="s">
        <v>33</v>
      </c>
      <c r="F47" s="82" t="s">
        <v>34</v>
      </c>
      <c r="G47" s="82" t="s">
        <v>35</v>
      </c>
      <c r="H47" s="82" t="s">
        <v>36</v>
      </c>
      <c r="I47" s="67" t="s">
        <v>37</v>
      </c>
    </row>
    <row r="48" spans="1:9" x14ac:dyDescent="0.2">
      <c r="A48" s="83" t="str">
        <f>IF(ISBLANK('Personnel Yr 1'!G7),"",'Personnel Yr 1'!G7)</f>
        <v/>
      </c>
      <c r="B48" s="84" t="s">
        <v>126</v>
      </c>
      <c r="C48" s="84"/>
      <c r="D48" s="85">
        <f>SUM('Personnel Yr 1'!L7)</f>
        <v>0</v>
      </c>
      <c r="E48" s="85">
        <f>SUM('Personnel Yr 2'!L7)</f>
        <v>0</v>
      </c>
      <c r="F48" s="85">
        <f>SUM('Personnel Yr 3'!L7)</f>
        <v>0</v>
      </c>
      <c r="G48" s="85">
        <f>SUM('Personnel Yr 4'!L7)</f>
        <v>0</v>
      </c>
      <c r="H48" s="85">
        <f>SUM('Personnel Yr 5'!L7)</f>
        <v>0</v>
      </c>
      <c r="I48" s="85">
        <f>SUM(D48:H48)</f>
        <v>0</v>
      </c>
    </row>
    <row r="49" spans="1:9" x14ac:dyDescent="0.2">
      <c r="A49" s="86"/>
      <c r="B49" s="173" t="s">
        <v>127</v>
      </c>
      <c r="C49" s="173"/>
      <c r="D49" s="174">
        <f>D48/3.5</f>
        <v>0</v>
      </c>
      <c r="E49" s="174">
        <f>E48/3.5</f>
        <v>0</v>
      </c>
      <c r="F49" s="174">
        <f>F48/3.5</f>
        <v>0</v>
      </c>
      <c r="G49" s="174">
        <f>G48/3.5</f>
        <v>0</v>
      </c>
      <c r="H49" s="174">
        <f>H48/3.5</f>
        <v>0</v>
      </c>
      <c r="I49" s="175"/>
    </row>
    <row r="50" spans="1:9" x14ac:dyDescent="0.2">
      <c r="A50" s="87"/>
      <c r="B50" s="88" t="s">
        <v>128</v>
      </c>
      <c r="C50" s="88"/>
      <c r="D50" s="85">
        <f>SUM('Personnel Yr 1'!K7)</f>
        <v>0</v>
      </c>
      <c r="E50" s="85">
        <f>SUM('Personnel Yr 2'!K7)</f>
        <v>0</v>
      </c>
      <c r="F50" s="85">
        <f>SUM('Personnel Yr 3'!K7)</f>
        <v>0</v>
      </c>
      <c r="G50" s="85">
        <f>SUM('Personnel Yr 4'!K7)</f>
        <v>0</v>
      </c>
      <c r="H50" s="85">
        <f>SUM('Personnel Yr 5'!K7)</f>
        <v>0</v>
      </c>
      <c r="I50" s="85">
        <f>SUM(D50:H50)</f>
        <v>0</v>
      </c>
    </row>
    <row r="51" spans="1:9" x14ac:dyDescent="0.2">
      <c r="A51" s="87"/>
      <c r="B51" s="176" t="s">
        <v>129</v>
      </c>
      <c r="C51" s="176"/>
      <c r="D51" s="177">
        <f>D50/8.5</f>
        <v>0</v>
      </c>
      <c r="E51" s="177">
        <f>E50/8.5</f>
        <v>0</v>
      </c>
      <c r="F51" s="177">
        <f>F50/8.5</f>
        <v>0</v>
      </c>
      <c r="G51" s="177">
        <f>G50/8.5</f>
        <v>0</v>
      </c>
      <c r="H51" s="177">
        <f>H50/8.5</f>
        <v>0</v>
      </c>
      <c r="I51" s="178"/>
    </row>
    <row r="52" spans="1:9" x14ac:dyDescent="0.2">
      <c r="A52" s="87"/>
      <c r="B52" s="88" t="s">
        <v>130</v>
      </c>
      <c r="C52" s="88"/>
      <c r="D52" s="85">
        <f>SUM('Personnel Yr 1'!J7)</f>
        <v>0</v>
      </c>
      <c r="E52" s="85">
        <f>SUM('Personnel Yr 2'!J7)</f>
        <v>0</v>
      </c>
      <c r="F52" s="85">
        <f>SUM('Personnel Yr 3'!J7)</f>
        <v>0</v>
      </c>
      <c r="G52" s="85">
        <f>SUM('Personnel Yr 4'!J7)</f>
        <v>0</v>
      </c>
      <c r="H52" s="85">
        <f>SUM('Personnel Yr 5'!J7)</f>
        <v>0</v>
      </c>
      <c r="I52" s="85">
        <f>SUM(D52:H52)</f>
        <v>0</v>
      </c>
    </row>
    <row r="53" spans="1:9" x14ac:dyDescent="0.2">
      <c r="A53" s="87"/>
      <c r="B53" s="176" t="s">
        <v>131</v>
      </c>
      <c r="C53" s="176"/>
      <c r="D53" s="177">
        <f>D52/12</f>
        <v>0</v>
      </c>
      <c r="E53" s="177">
        <f>E52/12</f>
        <v>0</v>
      </c>
      <c r="F53" s="177">
        <f>F52/12</f>
        <v>0</v>
      </c>
      <c r="G53" s="177">
        <f>G52/12</f>
        <v>0</v>
      </c>
      <c r="H53" s="177">
        <f>H52/12</f>
        <v>0</v>
      </c>
      <c r="I53" s="179"/>
    </row>
    <row r="54" spans="1:9" x14ac:dyDescent="0.2">
      <c r="A54" s="693" t="str">
        <f>CONCATENATE('Personnel Yr 1'!B8, IF(OR(ISBLANK('Personnel Yr 1'!B8),'Personnel Yr 1'!B8=""),""," "),'Personnel Yr 1'!C8, " ",'Personnel Yr 1'!D8,IF(OR(ISBLANK('Personnel Yr 1'!D8),'Personnel Yr 1'!D8=""),""," "),'Personnel Yr 1'!E8," ",'Personnel Yr 1'!F8)</f>
        <v xml:space="preserve">  </v>
      </c>
      <c r="B54" s="694"/>
      <c r="C54" s="90"/>
      <c r="D54" s="91"/>
      <c r="E54" s="91"/>
      <c r="F54" s="91"/>
      <c r="G54" s="91"/>
      <c r="H54" s="91"/>
      <c r="I54" s="89"/>
    </row>
    <row r="55" spans="1:9" x14ac:dyDescent="0.2">
      <c r="A55" s="83" t="str">
        <f>IF(ISBLANK('Personnel Yr 1'!G8),"",'Personnel Yr 1'!G8)</f>
        <v/>
      </c>
      <c r="B55" s="84" t="s">
        <v>126</v>
      </c>
      <c r="C55" s="84"/>
      <c r="D55" s="85">
        <f>SUM('Personnel Yr 1'!L8)</f>
        <v>0</v>
      </c>
      <c r="E55" s="85">
        <f>SUM('Personnel Yr 2'!L8)</f>
        <v>0</v>
      </c>
      <c r="F55" s="85">
        <f>SUM('Personnel Yr 3'!L8)</f>
        <v>0</v>
      </c>
      <c r="G55" s="85">
        <f>SUM('Personnel Yr 4'!L8)</f>
        <v>0</v>
      </c>
      <c r="H55" s="85">
        <f>SUM('Personnel Yr 5'!L8)</f>
        <v>0</v>
      </c>
      <c r="I55" s="85">
        <f>SUM(D55:H55)</f>
        <v>0</v>
      </c>
    </row>
    <row r="56" spans="1:9" x14ac:dyDescent="0.2">
      <c r="A56" s="86"/>
      <c r="B56" s="180" t="s">
        <v>127</v>
      </c>
      <c r="C56" s="180"/>
      <c r="D56" s="174">
        <f>D55/3.5</f>
        <v>0</v>
      </c>
      <c r="E56" s="174">
        <f>E55/3.5</f>
        <v>0</v>
      </c>
      <c r="F56" s="174">
        <f>F55/3.5</f>
        <v>0</v>
      </c>
      <c r="G56" s="174">
        <f>G55/3.5</f>
        <v>0</v>
      </c>
      <c r="H56" s="174">
        <f>H55/3.5</f>
        <v>0</v>
      </c>
      <c r="I56" s="178"/>
    </row>
    <row r="57" spans="1:9" x14ac:dyDescent="0.2">
      <c r="A57" s="87"/>
      <c r="B57" s="88" t="s">
        <v>128</v>
      </c>
      <c r="C57" s="88"/>
      <c r="D57" s="85">
        <f>SUM('Personnel Yr 1'!K8)</f>
        <v>0</v>
      </c>
      <c r="E57" s="85">
        <f>SUM('Personnel Yr 2'!K8)</f>
        <v>0</v>
      </c>
      <c r="F57" s="85">
        <f>SUM('Personnel Yr 3'!K8)</f>
        <v>0</v>
      </c>
      <c r="G57" s="85">
        <f>SUM('Personnel Yr 4'!K8)</f>
        <v>0</v>
      </c>
      <c r="H57" s="85">
        <f>SUM('Personnel Yr 5'!K8)</f>
        <v>0</v>
      </c>
      <c r="I57" s="85">
        <f>SUM(D57:H57)</f>
        <v>0</v>
      </c>
    </row>
    <row r="58" spans="1:9" x14ac:dyDescent="0.2">
      <c r="A58" s="87"/>
      <c r="B58" s="176" t="s">
        <v>129</v>
      </c>
      <c r="C58" s="176"/>
      <c r="D58" s="177">
        <f>D57/8.5</f>
        <v>0</v>
      </c>
      <c r="E58" s="177">
        <f>E57/8.5</f>
        <v>0</v>
      </c>
      <c r="F58" s="177">
        <f>F57/8.5</f>
        <v>0</v>
      </c>
      <c r="G58" s="177">
        <f>G57/8.5</f>
        <v>0</v>
      </c>
      <c r="H58" s="177">
        <f>H57/8.5</f>
        <v>0</v>
      </c>
      <c r="I58" s="178"/>
    </row>
    <row r="59" spans="1:9" x14ac:dyDescent="0.2">
      <c r="A59" s="87"/>
      <c r="B59" s="88" t="s">
        <v>130</v>
      </c>
      <c r="C59" s="88"/>
      <c r="D59" s="85">
        <f>SUM('Personnel Yr 1'!J8)</f>
        <v>0</v>
      </c>
      <c r="E59" s="85">
        <f>SUM('Personnel Yr 2'!J8)</f>
        <v>0</v>
      </c>
      <c r="F59" s="85">
        <f>SUM('Personnel Yr 3'!J8)</f>
        <v>0</v>
      </c>
      <c r="G59" s="85">
        <f>SUM('Personnel Yr 4'!J8)</f>
        <v>0</v>
      </c>
      <c r="H59" s="85">
        <f>SUM('Personnel Yr 5'!J8)</f>
        <v>0</v>
      </c>
      <c r="I59" s="85">
        <f>SUM(D59:H59)</f>
        <v>0</v>
      </c>
    </row>
    <row r="60" spans="1:9" x14ac:dyDescent="0.2">
      <c r="A60" s="87"/>
      <c r="B60" s="176" t="s">
        <v>131</v>
      </c>
      <c r="C60" s="176"/>
      <c r="D60" s="177">
        <f>D59/12</f>
        <v>0</v>
      </c>
      <c r="E60" s="177">
        <f>E59/12</f>
        <v>0</v>
      </c>
      <c r="F60" s="177">
        <f>F59/12</f>
        <v>0</v>
      </c>
      <c r="G60" s="177">
        <f>G59/12</f>
        <v>0</v>
      </c>
      <c r="H60" s="177">
        <f>H59/12</f>
        <v>0</v>
      </c>
      <c r="I60" s="179"/>
    </row>
    <row r="61" spans="1:9" x14ac:dyDescent="0.2">
      <c r="A61" s="693" t="str">
        <f>CONCATENATE('Personnel Yr 1'!B9, IF(OR(ISBLANK('Personnel Yr 1'!B9),'Personnel Yr 1'!B9=""),""," "),'Personnel Yr 1'!C9, " ",'Personnel Yr 1'!D9,IF(OR(ISBLANK('Personnel Yr 1'!D9),'Personnel Yr 1'!D9=""),""," "),'Personnel Yr 1'!E9," ",'Personnel Yr 1'!F9)</f>
        <v xml:space="preserve">  </v>
      </c>
      <c r="B61" s="694"/>
      <c r="C61" s="90"/>
      <c r="D61" s="91"/>
      <c r="E61" s="91"/>
      <c r="F61" s="91"/>
      <c r="G61" s="91"/>
      <c r="H61" s="91"/>
      <c r="I61" s="89"/>
    </row>
    <row r="62" spans="1:9" x14ac:dyDescent="0.2">
      <c r="A62" s="86" t="str">
        <f>IF(ISBLANK('Personnel Yr 1'!G9),"",'Personnel Yr 1'!G9)</f>
        <v/>
      </c>
      <c r="B62" s="84" t="s">
        <v>126</v>
      </c>
      <c r="C62" s="84"/>
      <c r="D62" s="85">
        <f>SUM('Personnel Yr 1'!L9)</f>
        <v>0</v>
      </c>
      <c r="E62" s="85">
        <f>SUM('Personnel Yr 2'!L9)</f>
        <v>0</v>
      </c>
      <c r="F62" s="85">
        <f>SUM('Personnel Yr 3'!L9)</f>
        <v>0</v>
      </c>
      <c r="G62" s="85">
        <f>SUM('Personnel Yr 4'!L9)</f>
        <v>0</v>
      </c>
      <c r="H62" s="85">
        <f>SUM('Personnel Yr 5'!L9)</f>
        <v>0</v>
      </c>
      <c r="I62" s="85">
        <f>SUM(D62:H62)</f>
        <v>0</v>
      </c>
    </row>
    <row r="63" spans="1:9" x14ac:dyDescent="0.2">
      <c r="A63" s="86"/>
      <c r="B63" s="180" t="s">
        <v>127</v>
      </c>
      <c r="C63" s="180"/>
      <c r="D63" s="174">
        <f>D62/3.5</f>
        <v>0</v>
      </c>
      <c r="E63" s="174">
        <f>E62/3.5</f>
        <v>0</v>
      </c>
      <c r="F63" s="174">
        <f>F62/3.5</f>
        <v>0</v>
      </c>
      <c r="G63" s="174">
        <f>G62/3.5</f>
        <v>0</v>
      </c>
      <c r="H63" s="174">
        <f>H62/3.5</f>
        <v>0</v>
      </c>
      <c r="I63" s="178"/>
    </row>
    <row r="64" spans="1:9" x14ac:dyDescent="0.2">
      <c r="A64" s="87"/>
      <c r="B64" s="88" t="s">
        <v>128</v>
      </c>
      <c r="C64" s="88"/>
      <c r="D64" s="85">
        <f>SUM('Personnel Yr 1'!K9)</f>
        <v>0</v>
      </c>
      <c r="E64" s="85">
        <f>SUM('Personnel Yr 2'!K9)</f>
        <v>0</v>
      </c>
      <c r="F64" s="85">
        <f>SUM('Personnel Yr 3'!K9)</f>
        <v>0</v>
      </c>
      <c r="G64" s="85">
        <f>SUM('Personnel Yr 4'!K9)</f>
        <v>0</v>
      </c>
      <c r="H64" s="85">
        <f>SUM('Personnel Yr 5'!K9)</f>
        <v>0</v>
      </c>
      <c r="I64" s="85">
        <f>SUM(D64:H64)</f>
        <v>0</v>
      </c>
    </row>
    <row r="65" spans="1:9" x14ac:dyDescent="0.2">
      <c r="A65" s="87"/>
      <c r="B65" s="176" t="s">
        <v>129</v>
      </c>
      <c r="C65" s="176"/>
      <c r="D65" s="177">
        <f>D64/8.5</f>
        <v>0</v>
      </c>
      <c r="E65" s="177">
        <f>E64/8.5</f>
        <v>0</v>
      </c>
      <c r="F65" s="177">
        <f>F64/8.5</f>
        <v>0</v>
      </c>
      <c r="G65" s="177">
        <f>G64/8.5</f>
        <v>0</v>
      </c>
      <c r="H65" s="177">
        <f>H64/8.5</f>
        <v>0</v>
      </c>
      <c r="I65" s="178"/>
    </row>
    <row r="66" spans="1:9" x14ac:dyDescent="0.2">
      <c r="A66" s="87"/>
      <c r="B66" s="88" t="s">
        <v>130</v>
      </c>
      <c r="C66" s="88"/>
      <c r="D66" s="85">
        <f>SUM('Personnel Yr 1'!J9)</f>
        <v>0</v>
      </c>
      <c r="E66" s="85">
        <f>SUM('Personnel Yr 2'!J9)</f>
        <v>0</v>
      </c>
      <c r="F66" s="85">
        <f>SUM('Personnel Yr 3'!J9)</f>
        <v>0</v>
      </c>
      <c r="G66" s="85">
        <f>SUM('Personnel Yr 4'!J9)</f>
        <v>0</v>
      </c>
      <c r="H66" s="85">
        <f>SUM('Personnel Yr 5'!J9)</f>
        <v>0</v>
      </c>
      <c r="I66" s="85">
        <f>SUM(D66:H66)</f>
        <v>0</v>
      </c>
    </row>
    <row r="67" spans="1:9" x14ac:dyDescent="0.2">
      <c r="A67" s="87"/>
      <c r="B67" s="176" t="s">
        <v>131</v>
      </c>
      <c r="C67" s="176"/>
      <c r="D67" s="177">
        <f>D66/12</f>
        <v>0</v>
      </c>
      <c r="E67" s="177">
        <f>E66/12</f>
        <v>0</v>
      </c>
      <c r="F67" s="177">
        <f>F66/12</f>
        <v>0</v>
      </c>
      <c r="G67" s="177">
        <f>G66/12</f>
        <v>0</v>
      </c>
      <c r="H67" s="177">
        <f>H66/12</f>
        <v>0</v>
      </c>
      <c r="I67" s="179"/>
    </row>
    <row r="68" spans="1:9" x14ac:dyDescent="0.2">
      <c r="A68" s="693" t="str">
        <f>CONCATENATE('Personnel Yr 1'!B10, IF(OR(ISBLANK('Personnel Yr 1'!B10),'Personnel Yr 1'!B10=""),""," "),'Personnel Yr 1'!C10, " ",'Personnel Yr 1'!D10,IF(OR(ISBLANK('Personnel Yr 1'!D10),'Personnel Yr 1'!D10=""),""," "),'Personnel Yr 1'!E10," ",'Personnel Yr 1'!F10)</f>
        <v xml:space="preserve">  </v>
      </c>
      <c r="B68" s="694"/>
      <c r="C68" s="90"/>
      <c r="D68" s="91"/>
      <c r="E68" s="91"/>
      <c r="F68" s="91"/>
      <c r="G68" s="91"/>
      <c r="H68" s="91"/>
      <c r="I68" s="89"/>
    </row>
    <row r="69" spans="1:9" x14ac:dyDescent="0.2">
      <c r="A69" s="86" t="str">
        <f>IF(ISBLANK('Personnel Yr 1'!G10),"",'Personnel Yr 1'!G10)</f>
        <v/>
      </c>
      <c r="B69" s="84" t="s">
        <v>126</v>
      </c>
      <c r="C69" s="84"/>
      <c r="D69" s="85">
        <f>SUM('Personnel Yr 1'!L10)</f>
        <v>0</v>
      </c>
      <c r="E69" s="85">
        <f>SUM('Personnel Yr 2'!L10)</f>
        <v>0</v>
      </c>
      <c r="F69" s="85">
        <f>SUM('Personnel Yr 3'!L10)</f>
        <v>0</v>
      </c>
      <c r="G69" s="85">
        <f>SUM('Personnel Yr 4'!L10)</f>
        <v>0</v>
      </c>
      <c r="H69" s="85">
        <f>SUM('Personnel Yr 5'!L10)</f>
        <v>0</v>
      </c>
      <c r="I69" s="85">
        <f>SUM(D69:H69)</f>
        <v>0</v>
      </c>
    </row>
    <row r="70" spans="1:9" x14ac:dyDescent="0.2">
      <c r="A70" s="86"/>
      <c r="B70" s="180" t="s">
        <v>127</v>
      </c>
      <c r="C70" s="180"/>
      <c r="D70" s="174">
        <f>D69/3.5</f>
        <v>0</v>
      </c>
      <c r="E70" s="174">
        <f>E69/3.5</f>
        <v>0</v>
      </c>
      <c r="F70" s="174">
        <f>F69/3.5</f>
        <v>0</v>
      </c>
      <c r="G70" s="174">
        <f>G69/3.5</f>
        <v>0</v>
      </c>
      <c r="H70" s="174">
        <f>H69/3.5</f>
        <v>0</v>
      </c>
      <c r="I70" s="178"/>
    </row>
    <row r="71" spans="1:9" x14ac:dyDescent="0.2">
      <c r="A71" s="87"/>
      <c r="B71" s="88" t="s">
        <v>128</v>
      </c>
      <c r="C71" s="88"/>
      <c r="D71" s="85">
        <f>SUM('Personnel Yr 1'!K10)</f>
        <v>0</v>
      </c>
      <c r="E71" s="85">
        <f>SUM('Personnel Yr 2'!K10)</f>
        <v>0</v>
      </c>
      <c r="F71" s="85">
        <f>SUM('Personnel Yr 3'!K10)</f>
        <v>0</v>
      </c>
      <c r="G71" s="85">
        <f>SUM('Personnel Yr 4'!K10)</f>
        <v>0</v>
      </c>
      <c r="H71" s="85">
        <f>SUM('Personnel Yr 5'!K10)</f>
        <v>0</v>
      </c>
      <c r="I71" s="85">
        <f>SUM(D71:H71)</f>
        <v>0</v>
      </c>
    </row>
    <row r="72" spans="1:9" x14ac:dyDescent="0.2">
      <c r="A72" s="87"/>
      <c r="B72" s="176" t="s">
        <v>129</v>
      </c>
      <c r="C72" s="176"/>
      <c r="D72" s="177">
        <f>D71/8.5</f>
        <v>0</v>
      </c>
      <c r="E72" s="177">
        <f>E71/8.5</f>
        <v>0</v>
      </c>
      <c r="F72" s="177">
        <f>F71/8.5</f>
        <v>0</v>
      </c>
      <c r="G72" s="177">
        <f>G71/8.5</f>
        <v>0</v>
      </c>
      <c r="H72" s="177">
        <f>H71/8.5</f>
        <v>0</v>
      </c>
      <c r="I72" s="178"/>
    </row>
    <row r="73" spans="1:9" x14ac:dyDescent="0.2">
      <c r="A73" s="87"/>
      <c r="B73" s="88" t="s">
        <v>130</v>
      </c>
      <c r="C73" s="88"/>
      <c r="D73" s="85">
        <f>SUM('Personnel Yr 1'!J10)</f>
        <v>0</v>
      </c>
      <c r="E73" s="85">
        <f>SUM('Personnel Yr 2'!J10)</f>
        <v>0</v>
      </c>
      <c r="F73" s="85">
        <f>SUM('Personnel Yr 3'!J10)</f>
        <v>0</v>
      </c>
      <c r="G73" s="85">
        <f>SUM('Personnel Yr 4'!J10)</f>
        <v>0</v>
      </c>
      <c r="H73" s="85">
        <f>SUM('Personnel Yr 5'!J10)</f>
        <v>0</v>
      </c>
      <c r="I73" s="85">
        <f>SUM(D73:H73)</f>
        <v>0</v>
      </c>
    </row>
    <row r="74" spans="1:9" x14ac:dyDescent="0.2">
      <c r="A74" s="87"/>
      <c r="B74" s="176" t="s">
        <v>131</v>
      </c>
      <c r="C74" s="176"/>
      <c r="D74" s="177">
        <f>D73/12</f>
        <v>0</v>
      </c>
      <c r="E74" s="177">
        <f>E73/12</f>
        <v>0</v>
      </c>
      <c r="F74" s="177">
        <f>F73/12</f>
        <v>0</v>
      </c>
      <c r="G74" s="177">
        <f>G73/12</f>
        <v>0</v>
      </c>
      <c r="H74" s="177">
        <f>H73/12</f>
        <v>0</v>
      </c>
      <c r="I74" s="179"/>
    </row>
    <row r="75" spans="1:9" x14ac:dyDescent="0.2">
      <c r="A75" s="693" t="str">
        <f>CONCATENATE('Personnel Yr 1'!B11, IF(OR(ISBLANK('Personnel Yr 1'!B11),'Personnel Yr 1'!B11=""),""," "),'Personnel Yr 1'!C11, " ",'Personnel Yr 1'!D11,IF(OR(ISBLANK('Personnel Yr 1'!D11),'Personnel Yr 1'!D11=""),""," "),'Personnel Yr 1'!E11," ",'Personnel Yr 1'!F11)</f>
        <v xml:space="preserve">  </v>
      </c>
      <c r="B75" s="694"/>
      <c r="C75" s="90"/>
      <c r="D75" s="91"/>
      <c r="E75" s="91"/>
      <c r="F75" s="91"/>
      <c r="G75" s="91"/>
      <c r="H75" s="91"/>
      <c r="I75" s="89"/>
    </row>
    <row r="76" spans="1:9" ht="12.75" customHeight="1" x14ac:dyDescent="0.2">
      <c r="A76" s="86" t="str">
        <f>IF(ISBLANK('Personnel Yr 1'!G11),"",'Personnel Yr 1'!G11)</f>
        <v/>
      </c>
      <c r="B76" s="84" t="s">
        <v>126</v>
      </c>
      <c r="C76" s="84"/>
      <c r="D76" s="85">
        <f>SUM('Personnel Yr 1'!L11)</f>
        <v>0</v>
      </c>
      <c r="E76" s="85">
        <f>SUM('Personnel Yr 2'!L11)</f>
        <v>0</v>
      </c>
      <c r="F76" s="85">
        <f>SUM('Personnel Yr 3'!L11)</f>
        <v>0</v>
      </c>
      <c r="G76" s="85">
        <f>SUM('Personnel Yr 4'!L11)</f>
        <v>0</v>
      </c>
      <c r="H76" s="85">
        <f>SUM('Personnel Yr 5'!L11)</f>
        <v>0</v>
      </c>
      <c r="I76" s="85">
        <f>SUM(D76:H76)</f>
        <v>0</v>
      </c>
    </row>
    <row r="77" spans="1:9" ht="12.75" customHeight="1" x14ac:dyDescent="0.2">
      <c r="A77" s="86"/>
      <c r="B77" s="180" t="s">
        <v>127</v>
      </c>
      <c r="C77" s="180"/>
      <c r="D77" s="174">
        <f>D76/3.5</f>
        <v>0</v>
      </c>
      <c r="E77" s="174">
        <f>E76/3.5</f>
        <v>0</v>
      </c>
      <c r="F77" s="174">
        <f>F76/3.5</f>
        <v>0</v>
      </c>
      <c r="G77" s="174">
        <f>G76/3.5</f>
        <v>0</v>
      </c>
      <c r="H77" s="174">
        <f>H76/3.5</f>
        <v>0</v>
      </c>
      <c r="I77" s="178"/>
    </row>
    <row r="78" spans="1:9" x14ac:dyDescent="0.2">
      <c r="A78" s="87"/>
      <c r="B78" s="88" t="s">
        <v>128</v>
      </c>
      <c r="C78" s="88"/>
      <c r="D78" s="85">
        <f>'Personnel Yr 1'!K11</f>
        <v>0</v>
      </c>
      <c r="E78" s="85">
        <f>SUM('Personnel Yr 2'!K11)</f>
        <v>0</v>
      </c>
      <c r="F78" s="85">
        <f>SUM('Personnel Yr 3'!K11)</f>
        <v>0</v>
      </c>
      <c r="G78" s="85">
        <f>SUM('Personnel Yr 4'!K11)</f>
        <v>0</v>
      </c>
      <c r="H78" s="85">
        <f>SUM('Personnel Yr 5'!K11)</f>
        <v>0</v>
      </c>
      <c r="I78" s="85">
        <f>SUM(D78:H78)</f>
        <v>0</v>
      </c>
    </row>
    <row r="79" spans="1:9" x14ac:dyDescent="0.2">
      <c r="A79" s="87"/>
      <c r="B79" s="176" t="s">
        <v>129</v>
      </c>
      <c r="C79" s="176"/>
      <c r="D79" s="177">
        <f>D78/8.5</f>
        <v>0</v>
      </c>
      <c r="E79" s="177">
        <f>E78/8.5</f>
        <v>0</v>
      </c>
      <c r="F79" s="177">
        <f>F78/8.5</f>
        <v>0</v>
      </c>
      <c r="G79" s="177">
        <f>G78/8.5</f>
        <v>0</v>
      </c>
      <c r="H79" s="177">
        <f>H78/8.5</f>
        <v>0</v>
      </c>
      <c r="I79" s="178"/>
    </row>
    <row r="80" spans="1:9" x14ac:dyDescent="0.2">
      <c r="A80" s="87"/>
      <c r="B80" s="88" t="s">
        <v>130</v>
      </c>
      <c r="C80" s="88"/>
      <c r="D80" s="85">
        <f>SUM('Personnel Yr 1'!J11)</f>
        <v>0</v>
      </c>
      <c r="E80" s="85">
        <f>SUM('Personnel Yr 2'!J11)</f>
        <v>0</v>
      </c>
      <c r="F80" s="85">
        <f>SUM('Personnel Yr 3'!J11)</f>
        <v>0</v>
      </c>
      <c r="G80" s="85">
        <f>SUM('Personnel Yr 4'!J11)</f>
        <v>0</v>
      </c>
      <c r="H80" s="85">
        <f>SUM('Personnel Yr 5'!J11)</f>
        <v>0</v>
      </c>
      <c r="I80" s="85">
        <f>SUM(D80:H80)</f>
        <v>0</v>
      </c>
    </row>
    <row r="81" spans="1:9" x14ac:dyDescent="0.2">
      <c r="A81" s="146"/>
      <c r="B81" s="176" t="s">
        <v>131</v>
      </c>
      <c r="C81" s="176"/>
      <c r="D81" s="177">
        <f>D80/12</f>
        <v>0</v>
      </c>
      <c r="E81" s="177">
        <f>E80/12</f>
        <v>0</v>
      </c>
      <c r="F81" s="177">
        <f>F80/12</f>
        <v>0</v>
      </c>
      <c r="G81" s="177">
        <f>G80/12</f>
        <v>0</v>
      </c>
      <c r="H81" s="177">
        <f>H80/12</f>
        <v>0</v>
      </c>
      <c r="I81" s="179"/>
    </row>
    <row r="82" spans="1:9" x14ac:dyDescent="0.2">
      <c r="A82" s="696" t="str">
        <f>CONCATENATE('Personnel Yr 1'!B12, IF(OR(ISBLANK('Personnel Yr 1'!B12),'Personnel Yr 1'!B12=""),""," "),'Personnel Yr 1'!C12, " ",'Personnel Yr 1'!D12,IF(OR(ISBLANK('Personnel Yr 1'!D12),'Personnel Yr 1'!D12=""),""," "),'Personnel Yr 1'!E12," ",'Personnel Yr 1'!F12)</f>
        <v xml:space="preserve">  </v>
      </c>
      <c r="B82" s="695"/>
      <c r="C82" s="90"/>
      <c r="D82" s="91"/>
      <c r="E82" s="91"/>
      <c r="F82" s="91"/>
      <c r="G82" s="91"/>
      <c r="H82" s="91"/>
      <c r="I82" s="89"/>
    </row>
    <row r="83" spans="1:9" ht="12.75" customHeight="1" x14ac:dyDescent="0.2">
      <c r="A83" s="83" t="str">
        <f>IF(ISBLANK('Personnel Yr 1'!G12),"",'Personnel Yr 1'!G12)</f>
        <v/>
      </c>
      <c r="B83" s="84" t="s">
        <v>126</v>
      </c>
      <c r="C83" s="84"/>
      <c r="D83" s="85">
        <f>SUM('Personnel Yr 1'!L12)</f>
        <v>0</v>
      </c>
      <c r="E83" s="85">
        <f>SUM('Personnel Yr 2'!L12)</f>
        <v>0</v>
      </c>
      <c r="F83" s="85">
        <f>SUM('Personnel Yr 3'!L12)</f>
        <v>0</v>
      </c>
      <c r="G83" s="85">
        <f>SUM('Personnel Yr 4'!L12)</f>
        <v>0</v>
      </c>
      <c r="H83" s="85">
        <f>SUM('Personnel Yr 5'!L12)</f>
        <v>0</v>
      </c>
      <c r="I83" s="85">
        <f>SUM(D83:H83)</f>
        <v>0</v>
      </c>
    </row>
    <row r="84" spans="1:9" ht="12.75" customHeight="1" x14ac:dyDescent="0.2">
      <c r="A84" s="86"/>
      <c r="B84" s="180" t="s">
        <v>127</v>
      </c>
      <c r="C84" s="180"/>
      <c r="D84" s="174">
        <f>D83/3.5</f>
        <v>0</v>
      </c>
      <c r="E84" s="174">
        <f>E83/3.5</f>
        <v>0</v>
      </c>
      <c r="F84" s="174">
        <f>F83/3.5</f>
        <v>0</v>
      </c>
      <c r="G84" s="174">
        <f>G83/3.5</f>
        <v>0</v>
      </c>
      <c r="H84" s="174">
        <f>H83/3.5</f>
        <v>0</v>
      </c>
      <c r="I84" s="178"/>
    </row>
    <row r="85" spans="1:9" x14ac:dyDescent="0.2">
      <c r="A85" s="87"/>
      <c r="B85" s="88" t="s">
        <v>128</v>
      </c>
      <c r="C85" s="88"/>
      <c r="D85" s="85">
        <f>SUM('Personnel Yr 1'!K12)</f>
        <v>0</v>
      </c>
      <c r="E85" s="85">
        <f>SUM('Personnel Yr 2'!K12)</f>
        <v>0</v>
      </c>
      <c r="F85" s="85">
        <f>SUM('Personnel Yr 3'!K12)</f>
        <v>0</v>
      </c>
      <c r="G85" s="85">
        <f>SUM('Personnel Yr 4'!K12)</f>
        <v>0</v>
      </c>
      <c r="H85" s="85">
        <f>SUM('Personnel Yr 5'!K12)</f>
        <v>0</v>
      </c>
      <c r="I85" s="85">
        <f>SUM(D85:H85)</f>
        <v>0</v>
      </c>
    </row>
    <row r="86" spans="1:9" x14ac:dyDescent="0.2">
      <c r="A86" s="87"/>
      <c r="B86" s="176" t="s">
        <v>129</v>
      </c>
      <c r="C86" s="176"/>
      <c r="D86" s="177">
        <f>D85/8.5</f>
        <v>0</v>
      </c>
      <c r="E86" s="177">
        <f>E85/8.5</f>
        <v>0</v>
      </c>
      <c r="F86" s="177">
        <f>F85/8.5</f>
        <v>0</v>
      </c>
      <c r="G86" s="177">
        <f>G85/8.5</f>
        <v>0</v>
      </c>
      <c r="H86" s="177">
        <f>H85/8.5</f>
        <v>0</v>
      </c>
      <c r="I86" s="178"/>
    </row>
    <row r="87" spans="1:9" x14ac:dyDescent="0.2">
      <c r="A87" s="87"/>
      <c r="B87" s="88" t="s">
        <v>130</v>
      </c>
      <c r="C87" s="88"/>
      <c r="D87" s="85">
        <f>SUM('Personnel Yr 1'!J12)</f>
        <v>0</v>
      </c>
      <c r="E87" s="85">
        <f>SUM('Personnel Yr 2'!J12)</f>
        <v>0</v>
      </c>
      <c r="F87" s="85">
        <f>SUM('Personnel Yr 3'!J12)</f>
        <v>0</v>
      </c>
      <c r="G87" s="85">
        <f>SUM('Personnel Yr 4'!J12)</f>
        <v>0</v>
      </c>
      <c r="H87" s="85">
        <f>SUM('Personnel Yr 5'!J12)</f>
        <v>0</v>
      </c>
      <c r="I87" s="85">
        <f>SUM(D87:H87)</f>
        <v>0</v>
      </c>
    </row>
    <row r="88" spans="1:9" x14ac:dyDescent="0.2">
      <c r="A88" s="146"/>
      <c r="B88" s="176" t="s">
        <v>131</v>
      </c>
      <c r="C88" s="176"/>
      <c r="D88" s="177">
        <f>D87/12</f>
        <v>0</v>
      </c>
      <c r="E88" s="177">
        <f>E87/12</f>
        <v>0</v>
      </c>
      <c r="F88" s="177">
        <f>F87/12</f>
        <v>0</v>
      </c>
      <c r="G88" s="177">
        <f>G87/12</f>
        <v>0</v>
      </c>
      <c r="H88" s="177">
        <f>H87/12</f>
        <v>0</v>
      </c>
      <c r="I88" s="181"/>
    </row>
    <row r="89" spans="1:9" x14ac:dyDescent="0.2">
      <c r="A89" s="696" t="str">
        <f>CONCATENATE('Personnel Yr 1'!B13, IF(OR(ISBLANK('Personnel Yr 1'!B13),'Personnel Yr 1'!B13=""),""," "),'Personnel Yr 1'!C13, " ",'Personnel Yr 1'!D13,IF(OR(ISBLANK('Personnel Yr 1'!D13),'Personnel Yr 1'!D13=""),""," "),'Personnel Yr 1'!E13," ",'Personnel Yr 1'!F13)</f>
        <v xml:space="preserve">  </v>
      </c>
      <c r="B89" s="695"/>
      <c r="C89" s="90"/>
      <c r="D89" s="93"/>
      <c r="E89" s="93"/>
      <c r="F89" s="93"/>
      <c r="G89" s="93"/>
      <c r="H89" s="145"/>
      <c r="I89" s="144"/>
    </row>
    <row r="90" spans="1:9" x14ac:dyDescent="0.2">
      <c r="A90" s="83" t="str">
        <f>IF(ISBLANK('Personnel Yr 1'!G13),"",'Personnel Yr 1'!G13)</f>
        <v/>
      </c>
      <c r="B90" s="84" t="s">
        <v>126</v>
      </c>
      <c r="C90" s="84"/>
      <c r="D90" s="85">
        <f>SUM('Personnel Yr 1'!L13)</f>
        <v>0</v>
      </c>
      <c r="E90" s="85">
        <f>SUM('Personnel Yr 2'!L13)</f>
        <v>0</v>
      </c>
      <c r="F90" s="85">
        <f>SUM('Personnel Yr 3'!L13)</f>
        <v>0</v>
      </c>
      <c r="G90" s="85">
        <f>SUM('Personnel Yr 4'!L13)</f>
        <v>0</v>
      </c>
      <c r="H90" s="85">
        <f>SUM('Personnel Yr 5'!L13)</f>
        <v>0</v>
      </c>
      <c r="I90" s="85">
        <f>SUM(D90:H90)</f>
        <v>0</v>
      </c>
    </row>
    <row r="91" spans="1:9" x14ac:dyDescent="0.2">
      <c r="A91" s="86"/>
      <c r="B91" s="180" t="s">
        <v>127</v>
      </c>
      <c r="C91" s="180"/>
      <c r="D91" s="174">
        <f>D90/3.5</f>
        <v>0</v>
      </c>
      <c r="E91" s="174">
        <f>E90/3.5</f>
        <v>0</v>
      </c>
      <c r="F91" s="174">
        <f>F90/3.5</f>
        <v>0</v>
      </c>
      <c r="G91" s="174">
        <f>G90/3.5</f>
        <v>0</v>
      </c>
      <c r="H91" s="174">
        <f>H90/3.5</f>
        <v>0</v>
      </c>
      <c r="I91" s="178"/>
    </row>
    <row r="92" spans="1:9" x14ac:dyDescent="0.2">
      <c r="A92" s="87"/>
      <c r="B92" s="88" t="s">
        <v>128</v>
      </c>
      <c r="C92" s="88"/>
      <c r="D92" s="85">
        <f>SUM('Personnel Yr 1'!K13)</f>
        <v>0</v>
      </c>
      <c r="E92" s="85">
        <f>SUM('Personnel Yr 2'!K13)</f>
        <v>0</v>
      </c>
      <c r="F92" s="85">
        <f>SUM('Personnel Yr 3'!K13)</f>
        <v>0</v>
      </c>
      <c r="G92" s="85">
        <f>SUM('Personnel Yr 4'!K13)</f>
        <v>0</v>
      </c>
      <c r="H92" s="85">
        <f>SUM('Personnel Yr 5'!K13)</f>
        <v>0</v>
      </c>
      <c r="I92" s="85">
        <f>SUM(D92:H92)</f>
        <v>0</v>
      </c>
    </row>
    <row r="93" spans="1:9" x14ac:dyDescent="0.2">
      <c r="A93" s="87"/>
      <c r="B93" s="176" t="s">
        <v>129</v>
      </c>
      <c r="C93" s="176"/>
      <c r="D93" s="177">
        <f>D92/8.5</f>
        <v>0</v>
      </c>
      <c r="E93" s="177">
        <f>E92/8.5</f>
        <v>0</v>
      </c>
      <c r="F93" s="177">
        <f>F92/8.5</f>
        <v>0</v>
      </c>
      <c r="G93" s="177">
        <f>G92/8.5</f>
        <v>0</v>
      </c>
      <c r="H93" s="177">
        <f>H92/8.5</f>
        <v>0</v>
      </c>
      <c r="I93" s="178"/>
    </row>
    <row r="94" spans="1:9" x14ac:dyDescent="0.2">
      <c r="A94" s="87"/>
      <c r="B94" s="88" t="s">
        <v>130</v>
      </c>
      <c r="C94" s="88"/>
      <c r="D94" s="85">
        <f>SUM('Personnel Yr 1'!J13)</f>
        <v>0</v>
      </c>
      <c r="E94" s="85">
        <f>SUM('Personnel Yr 2'!J13)</f>
        <v>0</v>
      </c>
      <c r="F94" s="85">
        <f>SUM('Personnel Yr 3'!J13)</f>
        <v>0</v>
      </c>
      <c r="G94" s="85">
        <f>SUM('Personnel Yr 4'!J13)</f>
        <v>0</v>
      </c>
      <c r="H94" s="85">
        <f>SUM('Personnel Yr 5'!J13)</f>
        <v>0</v>
      </c>
      <c r="I94" s="85">
        <f>SUM(D94:H94)</f>
        <v>0</v>
      </c>
    </row>
    <row r="95" spans="1:9" x14ac:dyDescent="0.2">
      <c r="A95" s="146"/>
      <c r="B95" s="176" t="s">
        <v>131</v>
      </c>
      <c r="C95" s="176"/>
      <c r="D95" s="177">
        <f>D94/12</f>
        <v>0</v>
      </c>
      <c r="E95" s="177">
        <f>E94/12</f>
        <v>0</v>
      </c>
      <c r="F95" s="177">
        <f>F94/12</f>
        <v>0</v>
      </c>
      <c r="G95" s="177">
        <f>G94/12</f>
        <v>0</v>
      </c>
      <c r="H95" s="177">
        <f>H94/12</f>
        <v>0</v>
      </c>
      <c r="I95" s="179"/>
    </row>
    <row r="96" spans="1:9" x14ac:dyDescent="0.2">
      <c r="A96" s="696" t="str">
        <f>CONCATENATE('Personnel Yr 1'!B14, IF(OR(ISBLANK('Personnel Yr 1'!B14),'Personnel Yr 1'!B14=""),""," "),'Personnel Yr 1'!C14, " ",'Personnel Yr 1'!D14,IF(OR(ISBLANK('Personnel Yr 1'!D14),'Personnel Yr 1'!D14=""),""," "),'Personnel Yr 1'!E14," ",'Personnel Yr 1'!F14)</f>
        <v xml:space="preserve">  </v>
      </c>
      <c r="B96" s="695"/>
      <c r="C96" s="90"/>
      <c r="D96" s="91"/>
      <c r="E96" s="91"/>
      <c r="F96" s="91"/>
      <c r="G96" s="91"/>
      <c r="H96" s="91"/>
      <c r="I96" s="89"/>
    </row>
    <row r="97" spans="1:9" x14ac:dyDescent="0.2">
      <c r="A97" s="83" t="str">
        <f>IF(ISBLANK('Personnel Yr 1'!G14),"",'Personnel Yr 1'!G14)</f>
        <v/>
      </c>
      <c r="B97" s="84" t="s">
        <v>126</v>
      </c>
      <c r="C97" s="84"/>
      <c r="D97" s="85">
        <f>SUM('Personnel Yr 1'!L14)</f>
        <v>0</v>
      </c>
      <c r="E97" s="85">
        <f>SUM('Personnel Yr 2'!L14)</f>
        <v>0</v>
      </c>
      <c r="F97" s="85">
        <f>SUM('Personnel Yr 3'!L14)</f>
        <v>0</v>
      </c>
      <c r="G97" s="85">
        <f>SUM('Personnel Yr 4'!L14)</f>
        <v>0</v>
      </c>
      <c r="H97" s="85">
        <f>SUM('Personnel Yr 5'!L14)</f>
        <v>0</v>
      </c>
      <c r="I97" s="85">
        <f>SUM(D97:H97)</f>
        <v>0</v>
      </c>
    </row>
    <row r="98" spans="1:9" x14ac:dyDescent="0.2">
      <c r="A98" s="86"/>
      <c r="B98" s="180" t="s">
        <v>127</v>
      </c>
      <c r="C98" s="180"/>
      <c r="D98" s="174">
        <f>D97/3.5</f>
        <v>0</v>
      </c>
      <c r="E98" s="174">
        <f>E97/3.5</f>
        <v>0</v>
      </c>
      <c r="F98" s="174">
        <f>F97/3.5</f>
        <v>0</v>
      </c>
      <c r="G98" s="174">
        <f>G97/3.5</f>
        <v>0</v>
      </c>
      <c r="H98" s="174">
        <f>H97/3.5</f>
        <v>0</v>
      </c>
      <c r="I98" s="178"/>
    </row>
    <row r="99" spans="1:9" x14ac:dyDescent="0.2">
      <c r="A99" s="87"/>
      <c r="B99" s="88" t="s">
        <v>128</v>
      </c>
      <c r="C99" s="88"/>
      <c r="D99" s="85">
        <f>SUM('Personnel Yr 1'!K14)</f>
        <v>0</v>
      </c>
      <c r="E99" s="85">
        <f>SUM('Personnel Yr 2'!K14)</f>
        <v>0</v>
      </c>
      <c r="F99" s="85">
        <f>SUM('Personnel Yr 3'!K14)</f>
        <v>0</v>
      </c>
      <c r="G99" s="85">
        <f>SUM('Personnel Yr 4'!K14)</f>
        <v>0</v>
      </c>
      <c r="H99" s="85">
        <f>SUM('Personnel Yr 5'!K14)</f>
        <v>0</v>
      </c>
      <c r="I99" s="85">
        <f>SUM(D99:H99)</f>
        <v>0</v>
      </c>
    </row>
    <row r="100" spans="1:9" x14ac:dyDescent="0.2">
      <c r="A100" s="87"/>
      <c r="B100" s="176" t="s">
        <v>129</v>
      </c>
      <c r="C100" s="176"/>
      <c r="D100" s="177">
        <f>D99/8.5</f>
        <v>0</v>
      </c>
      <c r="E100" s="177">
        <f>E99/8.5</f>
        <v>0</v>
      </c>
      <c r="F100" s="177">
        <f>F99/8.5</f>
        <v>0</v>
      </c>
      <c r="G100" s="177">
        <f>G99/8.5</f>
        <v>0</v>
      </c>
      <c r="H100" s="177">
        <f>H99/8.5</f>
        <v>0</v>
      </c>
      <c r="I100" s="178"/>
    </row>
    <row r="101" spans="1:9" x14ac:dyDescent="0.2">
      <c r="A101" s="87"/>
      <c r="B101" s="88" t="s">
        <v>130</v>
      </c>
      <c r="C101" s="88"/>
      <c r="D101" s="85">
        <f>SUM('Personnel Yr 1'!J14)</f>
        <v>0</v>
      </c>
      <c r="E101" s="85">
        <f>SUM('Personnel Yr 2'!J14)</f>
        <v>0</v>
      </c>
      <c r="F101" s="85">
        <f>SUM('Personnel Yr 3'!J14)</f>
        <v>0</v>
      </c>
      <c r="G101" s="85">
        <f>SUM('Personnel Yr 4'!J14)</f>
        <v>0</v>
      </c>
      <c r="H101" s="85">
        <f>SUM('Personnel Yr 5'!J14)</f>
        <v>0</v>
      </c>
      <c r="I101" s="85">
        <f>SUM(D101:H101)</f>
        <v>0</v>
      </c>
    </row>
    <row r="102" spans="1:9" ht="13.5" thickBot="1" x14ac:dyDescent="0.25">
      <c r="A102" s="92"/>
      <c r="B102" s="182" t="s">
        <v>131</v>
      </c>
      <c r="C102" s="182"/>
      <c r="D102" s="183">
        <f>D101/12</f>
        <v>0</v>
      </c>
      <c r="E102" s="183">
        <f>E101/12</f>
        <v>0</v>
      </c>
      <c r="F102" s="183">
        <f>F101/12</f>
        <v>0</v>
      </c>
      <c r="G102" s="183">
        <f>G101/12</f>
        <v>0</v>
      </c>
      <c r="H102" s="183">
        <f>H101/12</f>
        <v>0</v>
      </c>
      <c r="I102" s="184"/>
    </row>
    <row r="103" spans="1:9" ht="13.5" thickTop="1" x14ac:dyDescent="0.2">
      <c r="A103" s="8"/>
      <c r="B103" s="94"/>
      <c r="C103" s="94"/>
      <c r="D103" s="94"/>
      <c r="E103" s="94"/>
      <c r="F103" s="94"/>
      <c r="G103" s="94"/>
      <c r="H103" s="94"/>
      <c r="I103" s="94"/>
    </row>
    <row r="104" spans="1:9" x14ac:dyDescent="0.2">
      <c r="A104" s="701" t="s">
        <v>132</v>
      </c>
      <c r="B104" s="701"/>
      <c r="C104" s="66" t="s">
        <v>119</v>
      </c>
      <c r="D104" s="82" t="s">
        <v>32</v>
      </c>
      <c r="E104" s="82" t="s">
        <v>33</v>
      </c>
      <c r="F104" s="82" t="s">
        <v>34</v>
      </c>
      <c r="G104" s="82" t="s">
        <v>35</v>
      </c>
      <c r="H104" s="82" t="s">
        <v>36</v>
      </c>
      <c r="I104" s="67" t="s">
        <v>37</v>
      </c>
    </row>
    <row r="105" spans="1:9" ht="12.75" customHeight="1" x14ac:dyDescent="0.2">
      <c r="A105" s="697" t="s">
        <v>650</v>
      </c>
      <c r="B105" s="698"/>
      <c r="C105" s="275" t="s">
        <v>405</v>
      </c>
      <c r="D105" s="69">
        <f>SUM('Personnel Yr 1'!M39)</f>
        <v>0</v>
      </c>
      <c r="E105" s="69">
        <f>SUM('Personnel Yr 2'!M39)</f>
        <v>0</v>
      </c>
      <c r="F105" s="69">
        <f>SUM('Personnel Yr 3'!M39)</f>
        <v>0</v>
      </c>
      <c r="G105" s="69">
        <f>SUM('Personnel Yr 4'!M39)</f>
        <v>0</v>
      </c>
      <c r="H105" s="69">
        <f>SUM('Personnel Yr 5'!M39)</f>
        <v>0</v>
      </c>
      <c r="I105" s="69">
        <f>SUM(D105:H105)</f>
        <v>0</v>
      </c>
    </row>
    <row r="106" spans="1:9" ht="12.75" customHeight="1" x14ac:dyDescent="0.2">
      <c r="A106" s="697" t="s">
        <v>651</v>
      </c>
      <c r="B106" s="698"/>
      <c r="C106" s="275" t="s">
        <v>530</v>
      </c>
      <c r="D106" s="69">
        <f>SUM('Personnel Yr 1'!M40)</f>
        <v>0</v>
      </c>
      <c r="E106" s="69">
        <f>SUM('Personnel Yr 2'!M40)</f>
        <v>0</v>
      </c>
      <c r="F106" s="69">
        <f>SUM('Personnel Yr 3'!M40)</f>
        <v>0</v>
      </c>
      <c r="G106" s="69">
        <f>SUM('Personnel Yr 4'!M40)</f>
        <v>0</v>
      </c>
      <c r="H106" s="69">
        <f>SUM('Personnel Yr 5'!M40)</f>
        <v>0</v>
      </c>
      <c r="I106" s="69">
        <f t="shared" ref="I106:I107" si="3">SUM(D106:H106)</f>
        <v>0</v>
      </c>
    </row>
    <row r="107" spans="1:9" ht="12.75" customHeight="1" x14ac:dyDescent="0.2">
      <c r="A107" s="697" t="s">
        <v>652</v>
      </c>
      <c r="B107" s="698"/>
      <c r="C107" s="275" t="s">
        <v>531</v>
      </c>
      <c r="D107" s="69">
        <f>SUM('Personnel Yr 1'!M41)</f>
        <v>0</v>
      </c>
      <c r="E107" s="69">
        <f>SUM('Personnel Yr 2'!M41)</f>
        <v>0</v>
      </c>
      <c r="F107" s="69">
        <f>SUM('Personnel Yr 3'!M41)</f>
        <v>0</v>
      </c>
      <c r="G107" s="69">
        <f>SUM('Personnel Yr 4'!M41)</f>
        <v>0</v>
      </c>
      <c r="H107" s="69">
        <f>SUM('Personnel Yr 5'!M41)</f>
        <v>0</v>
      </c>
      <c r="I107" s="69">
        <f t="shared" si="3"/>
        <v>0</v>
      </c>
    </row>
    <row r="108" spans="1:9" x14ac:dyDescent="0.2">
      <c r="A108" s="737" t="s">
        <v>653</v>
      </c>
      <c r="B108" s="738"/>
      <c r="C108" s="277" t="s">
        <v>401</v>
      </c>
      <c r="D108" s="69">
        <f>SUM('Personnel Yr 1'!M42)</f>
        <v>0</v>
      </c>
      <c r="E108" s="69">
        <f>SUM('Personnel Yr 2'!M42)</f>
        <v>0</v>
      </c>
      <c r="F108" s="69">
        <f>SUM('Personnel Yr 3'!M42)</f>
        <v>0</v>
      </c>
      <c r="G108" s="69">
        <f>SUM('Personnel Yr 4'!M42)</f>
        <v>0</v>
      </c>
      <c r="H108" s="69">
        <f>SUM('Personnel Yr 5'!M42)</f>
        <v>0</v>
      </c>
      <c r="I108" s="69">
        <f>SUM(D108:H108)</f>
        <v>0</v>
      </c>
    </row>
    <row r="109" spans="1:9" x14ac:dyDescent="0.2">
      <c r="A109" s="725" t="s">
        <v>654</v>
      </c>
      <c r="B109" s="726"/>
      <c r="C109" s="95" t="s">
        <v>133</v>
      </c>
      <c r="D109" s="69">
        <f>SUM('Personnel Yr 1'!M43)</f>
        <v>0</v>
      </c>
      <c r="E109" s="69">
        <f>SUM('Personnel Yr 2'!M43)</f>
        <v>0</v>
      </c>
      <c r="F109" s="69">
        <f>SUM('Personnel Yr 3'!M43)</f>
        <v>0</v>
      </c>
      <c r="G109" s="69">
        <f>SUM('Personnel Yr 4'!M43)</f>
        <v>0</v>
      </c>
      <c r="H109" s="69">
        <f>SUM('Personnel Yr 5'!M43)</f>
        <v>0</v>
      </c>
      <c r="I109" s="69">
        <f>SUM(D109:H109)</f>
        <v>0</v>
      </c>
    </row>
    <row r="110" spans="1:9" x14ac:dyDescent="0.2">
      <c r="A110" s="697" t="s">
        <v>655</v>
      </c>
      <c r="B110" s="698"/>
      <c r="C110" s="276" t="s">
        <v>404</v>
      </c>
      <c r="D110" s="69">
        <f>SUM('Personnel Yr 1'!M44)</f>
        <v>0</v>
      </c>
      <c r="E110" s="69">
        <f>SUM('Personnel Yr 2'!M44)</f>
        <v>0</v>
      </c>
      <c r="F110" s="69">
        <f>SUM('Personnel Yr 3'!M44)</f>
        <v>0</v>
      </c>
      <c r="G110" s="69">
        <f>SUM('Personnel Yr 4'!M44)</f>
        <v>0</v>
      </c>
      <c r="H110" s="69">
        <f>SUM('Personnel Yr 5'!M44)</f>
        <v>0</v>
      </c>
      <c r="I110" s="69">
        <f>SUM(D110:H110)</f>
        <v>0</v>
      </c>
    </row>
    <row r="111" spans="1:9" x14ac:dyDescent="0.2">
      <c r="A111" s="743" t="s">
        <v>656</v>
      </c>
      <c r="B111" s="744"/>
      <c r="C111" s="95" t="s">
        <v>134</v>
      </c>
      <c r="D111" s="69">
        <f>SUM('Personnel Yr 1'!M45)</f>
        <v>0</v>
      </c>
      <c r="E111" s="69">
        <f>SUM('Personnel Yr 2'!M45)</f>
        <v>0</v>
      </c>
      <c r="F111" s="69">
        <f>SUM('Personnel Yr 3'!M45)</f>
        <v>0</v>
      </c>
      <c r="G111" s="69">
        <f>SUM('Personnel Yr 4'!M45)</f>
        <v>0</v>
      </c>
      <c r="H111" s="69">
        <f>SUM('Personnel Yr 5'!M45)</f>
        <v>0</v>
      </c>
      <c r="I111" s="69">
        <f>SUM(D111:H111)</f>
        <v>0</v>
      </c>
    </row>
    <row r="112" spans="1:9" x14ac:dyDescent="0.2">
      <c r="A112" s="697" t="s">
        <v>658</v>
      </c>
      <c r="B112" s="698"/>
      <c r="C112" s="276" t="s">
        <v>402</v>
      </c>
      <c r="D112" s="69">
        <f>SUM('Personnel Yr 1'!M46)</f>
        <v>0</v>
      </c>
      <c r="E112" s="69">
        <f>SUM('Personnel Yr 2'!M46)</f>
        <v>0</v>
      </c>
      <c r="F112" s="69">
        <f>SUM('Personnel Yr 3'!M46)</f>
        <v>0</v>
      </c>
      <c r="G112" s="69">
        <f>SUM('Personnel Yr 4'!M46)</f>
        <v>0</v>
      </c>
      <c r="H112" s="69">
        <f>SUM('Personnel Yr 5'!M46)</f>
        <v>0</v>
      </c>
      <c r="I112" s="69">
        <f t="shared" ref="I112:I115" si="4">SUM(D112:H112)</f>
        <v>0</v>
      </c>
    </row>
    <row r="113" spans="1:9" x14ac:dyDescent="0.2">
      <c r="A113" s="737" t="s">
        <v>657</v>
      </c>
      <c r="B113" s="738"/>
      <c r="C113" s="356" t="s">
        <v>406</v>
      </c>
      <c r="D113" s="150">
        <f>SUM('Personnel Yr 1'!M47)</f>
        <v>0</v>
      </c>
      <c r="E113" s="150">
        <f>SUM('Personnel Yr 2'!M47)</f>
        <v>0</v>
      </c>
      <c r="F113" s="150">
        <f>SUM('Personnel Yr 3'!M47)</f>
        <v>0</v>
      </c>
      <c r="G113" s="150">
        <f>SUM('Personnel Yr 4'!M47)</f>
        <v>0</v>
      </c>
      <c r="H113" s="150">
        <f>SUM('Personnel Yr 5'!M47)</f>
        <v>0</v>
      </c>
      <c r="I113" s="69">
        <f t="shared" si="4"/>
        <v>0</v>
      </c>
    </row>
    <row r="114" spans="1:9" x14ac:dyDescent="0.2">
      <c r="A114" s="745" t="s">
        <v>659</v>
      </c>
      <c r="B114" s="746"/>
      <c r="C114" s="356" t="s">
        <v>403</v>
      </c>
      <c r="D114" s="150">
        <f>SUM('Personnel Yr 1'!M48)</f>
        <v>0</v>
      </c>
      <c r="E114" s="150">
        <f>SUM('Personnel Yr 2'!M48)</f>
        <v>0</v>
      </c>
      <c r="F114" s="150">
        <f>SUM('Personnel Yr 3'!M48)</f>
        <v>0</v>
      </c>
      <c r="G114" s="150">
        <f>SUM('Personnel Yr 4'!M48)</f>
        <v>0</v>
      </c>
      <c r="H114" s="150">
        <f>SUM('Personnel Yr 5'!M48)</f>
        <v>0</v>
      </c>
      <c r="I114" s="69">
        <f t="shared" ref="I114" si="5">SUM(D114:H114)</f>
        <v>0</v>
      </c>
    </row>
    <row r="115" spans="1:9" ht="13.5" thickBot="1" x14ac:dyDescent="0.25">
      <c r="A115" s="739" t="s">
        <v>135</v>
      </c>
      <c r="B115" s="740"/>
      <c r="C115" s="98"/>
      <c r="D115" s="79">
        <f>SUM(D105:D114)</f>
        <v>0</v>
      </c>
      <c r="E115" s="79">
        <f t="shared" ref="E115:H115" si="6">SUM(E105:E114)</f>
        <v>0</v>
      </c>
      <c r="F115" s="79">
        <f t="shared" si="6"/>
        <v>0</v>
      </c>
      <c r="G115" s="79">
        <f t="shared" si="6"/>
        <v>0</v>
      </c>
      <c r="H115" s="79">
        <f t="shared" si="6"/>
        <v>0</v>
      </c>
      <c r="I115" s="79">
        <f t="shared" si="4"/>
        <v>0</v>
      </c>
    </row>
    <row r="116" spans="1:9" ht="13.5" thickTop="1" x14ac:dyDescent="0.2">
      <c r="A116" s="99"/>
      <c r="B116" s="100"/>
      <c r="C116" s="100"/>
      <c r="D116" s="100"/>
      <c r="E116" s="100"/>
      <c r="F116" s="100"/>
      <c r="G116" s="100"/>
      <c r="H116" s="100"/>
      <c r="I116" s="100"/>
    </row>
    <row r="117" spans="1:9" ht="13.5" thickBot="1" x14ac:dyDescent="0.25">
      <c r="A117" s="741" t="s">
        <v>136</v>
      </c>
      <c r="B117" s="742"/>
      <c r="C117" s="101"/>
      <c r="D117" s="79">
        <f>SUM(D115,D44)</f>
        <v>0</v>
      </c>
      <c r="E117" s="79">
        <f>SUM(E115,E44)</f>
        <v>0</v>
      </c>
      <c r="F117" s="79">
        <f>SUM(F115,F44)</f>
        <v>0</v>
      </c>
      <c r="G117" s="79">
        <f>SUM(G115,G44)</f>
        <v>0</v>
      </c>
      <c r="H117" s="79">
        <f>SUM(H115,H44)</f>
        <v>0</v>
      </c>
      <c r="I117" s="79">
        <f>SUM(D117:H117)</f>
        <v>0</v>
      </c>
    </row>
    <row r="118" spans="1:9" ht="13.5" thickTop="1" x14ac:dyDescent="0.2">
      <c r="A118" s="24"/>
      <c r="B118" s="102"/>
      <c r="C118" s="102"/>
      <c r="D118" s="102"/>
      <c r="E118" s="102"/>
      <c r="F118" s="102"/>
      <c r="G118" s="102"/>
      <c r="H118" s="102"/>
      <c r="I118" s="102"/>
    </row>
    <row r="119" spans="1:9" x14ac:dyDescent="0.2">
      <c r="A119" s="701" t="s">
        <v>137</v>
      </c>
      <c r="B119" s="701"/>
      <c r="C119" s="66" t="s">
        <v>119</v>
      </c>
      <c r="D119" s="82" t="s">
        <v>32</v>
      </c>
      <c r="E119" s="82" t="s">
        <v>33</v>
      </c>
      <c r="F119" s="82" t="s">
        <v>34</v>
      </c>
      <c r="G119" s="82" t="s">
        <v>35</v>
      </c>
      <c r="H119" s="82" t="s">
        <v>36</v>
      </c>
      <c r="I119" s="67" t="s">
        <v>37</v>
      </c>
    </row>
    <row r="120" spans="1:9" x14ac:dyDescent="0.2">
      <c r="A120" s="699" t="str">
        <f>"1)  " &amp; LOOKUP("Full",Ben,Per)*100 &amp; "% (AY Faculty, Regular)"</f>
        <v>1)  29.5% (AY Faculty, Regular)</v>
      </c>
      <c r="B120" s="700"/>
      <c r="C120" s="95"/>
      <c r="D120" s="69">
        <f>(SUM('Personnel Yr 1'!V15,'Personnel Yr 1'!W15,'Personnel Yr 1'!N39:N40,'Personnel Yr 1'!N42,'Personnel Yr 1'!N45,'Personnel Yr 1'!V35,'Personnel Yr 1'!W35))-SUMIF('Personnel Yr 1'!H7:H14,"Non-Tenure Track Faculty - Hourly",'Personnel Yr 1'!V7:V14) + SUMIF('Personnel Yr 1'!V20:V34,"Non-Tenure Track Faculty - Hourly",'Personnel Yr 1'!V20:V34)</f>
        <v>0</v>
      </c>
      <c r="E120" s="69">
        <f>SUM('Personnel Yr 2'!U15,'Personnel Yr 2'!V15,'Personnel Yr 2'!N39:N40,'Personnel Yr 2'!N42,'Personnel Yr 2'!N45,'Personnel Yr 2'!U35,'Personnel Yr 2'!V35)-SUMIF('Personnel Yr 2'!H7:H14,"Non-Tenure Track Faculty - Hourly",'Personnel Yr 2'!U7:U14) + SUMIF('Personnel Yr 2'!H20:H34,"Non-Tenure Track Faculty - Hourly",'Personnel Yr 2'!U20:U34)</f>
        <v>0</v>
      </c>
      <c r="F120" s="69">
        <f>SUM('Personnel Yr 3'!U15,'Personnel Yr 3'!V15,'Personnel Yr 3'!N39:N40,'Personnel Yr 3'!N42,'Personnel Yr 3'!N45,'Personnel Yr 3'!U35,'Personnel Yr 3'!V35)-SUMIF('Personnel Yr 3'!H7:H14,"Non-Tenure Track Faculty - Hourly",'Personnel Yr 3'!U7:U14) + SUMIF('Personnel Yr 3'!H20:H34,"Non-Tenure Track Faculty - Hourly",'Personnel Yr 3'!U20:U34)</f>
        <v>0</v>
      </c>
      <c r="G120" s="69">
        <f>SUM('Personnel Yr 4'!U15,'Personnel Yr 4'!V15,'Personnel Yr 4'!N39:N40,'Personnel Yr 4'!N42,'Personnel Yr 4'!N45,'Personnel Yr 4'!U35,'Personnel Yr 4'!V35)-SUMIF('Personnel Yr 4'!H7:H14,"Non-Tenure Track Faculty - Hourly",'Personnel Yr 4'!U7:U14) + SUMIF('Personnel Yr 4'!H20:H34,"Non-Tenure Track Faculty - Hourly",'Personnel Yr 4'!U20:U34)</f>
        <v>0</v>
      </c>
      <c r="H120" s="69">
        <f>SUM('Personnel Yr 5'!U15,'Personnel Yr 5'!V15,'Personnel Yr 5'!N39:N40,'Personnel Yr 5'!N42,'Personnel Yr 5'!N45,'Personnel Yr 5'!U35,'Personnel Yr 5'!V35)-SUMIF('Personnel Yr 5'!H7:H14,"Non-Tenure Track Faculty - Hourly",'Personnel Yr 5'!U7:U14) + SUMIF('Personnel Yr 5'!H20:H34,"Non-Tenure Track Faculty - Hourly",'Personnel Yr 5'!U20:U34)</f>
        <v>0</v>
      </c>
      <c r="I120" s="69">
        <f t="shared" ref="I120:I124" si="7">SUM(D120:H120)</f>
        <v>0</v>
      </c>
    </row>
    <row r="121" spans="1:9" x14ac:dyDescent="0.2">
      <c r="A121" s="699" t="str">
        <f>"2)  " &amp; LOOKUP("Summer",Ben,Per)*100 &amp; "% (Summer Faculty)"</f>
        <v>2)  15.8% (Summer Faculty)</v>
      </c>
      <c r="B121" s="700"/>
      <c r="C121" s="95"/>
      <c r="D121" s="69">
        <f>SUM('Personnel Yr 1'!X15,'Personnel Yr 1'!X35)</f>
        <v>0</v>
      </c>
      <c r="E121" s="69">
        <f>SUM('Personnel Yr 2'!W15,'Personnel Yr 2'!W35)</f>
        <v>0</v>
      </c>
      <c r="F121" s="69">
        <f>SUM('Personnel Yr 3'!W15,'Personnel Yr 3'!W35)</f>
        <v>0</v>
      </c>
      <c r="G121" s="69">
        <f>SUM('Personnel Yr 4'!W15,'Personnel Yr 4'!W35)</f>
        <v>0</v>
      </c>
      <c r="H121" s="69">
        <f>SUM('Personnel Yr 5'!W15,'Personnel Yr 5'!W35)</f>
        <v>0</v>
      </c>
      <c r="I121" s="69">
        <f t="shared" si="7"/>
        <v>0</v>
      </c>
    </row>
    <row r="122" spans="1:9" x14ac:dyDescent="0.2">
      <c r="A122" s="699" t="str">
        <f>IF(ISBLANK('Personnel Yr 1'!I43),"3)  " &amp; 'Drop Choices'!D2 * 100 &amp; "%/" &amp; 'Drop Choices'!D3 * 100 &amp; "% (GA)","3)  " &amp; LOOKUP('Personnel Yr 1'!I43,Grad,GradR)*100 &amp; "% (GA - " &amp; 'Personnel Yr 1'!I43 &amp; ")")</f>
        <v>3)  10.8%/10.8% (GA)</v>
      </c>
      <c r="B122" s="700"/>
      <c r="C122" s="103"/>
      <c r="D122" s="69">
        <f>SUM('Personnel Yr 1'!N43)</f>
        <v>0</v>
      </c>
      <c r="E122" s="69">
        <f>SUM('Personnel Yr 2'!N43)</f>
        <v>0</v>
      </c>
      <c r="F122" s="69">
        <f>SUM('Personnel Yr 3'!N43)</f>
        <v>0</v>
      </c>
      <c r="G122" s="69">
        <f>SUM('Personnel Yr 4'!N43)</f>
        <v>0</v>
      </c>
      <c r="H122" s="69">
        <f>SUM('Personnel Yr 5'!N43)</f>
        <v>0</v>
      </c>
      <c r="I122" s="69">
        <f t="shared" si="7"/>
        <v>0</v>
      </c>
    </row>
    <row r="123" spans="1:9" x14ac:dyDescent="0.2">
      <c r="A123" s="699" t="str">
        <f>"4)  " &amp; LOOKUP("Temp",Ben,Per)*100 &amp; "% (Hourly &amp; Extra Service)"</f>
        <v>4)  7.9% (Hourly &amp; Extra Service)</v>
      </c>
      <c r="B123" s="700"/>
      <c r="C123" s="357"/>
      <c r="D123" s="69">
        <f>SUM('Personnel Yr 1'!N41,'Personnel Yr 1'!N44,'Personnel Yr 1'!N46,'Personnel Yr 1'!N47) + SUMIF('Personnel Yr 1'!H7:H14,"Non-Tenure Track Faculty - Hourly",'Personnel Yr 1'!V7:V14) + SUMIF('Personnel Yr 1'!V20:V34,"Non-Tenure Track Faculty - Hourly",'Personnel Yr 1'!V20:V34)</f>
        <v>0</v>
      </c>
      <c r="E123" s="69">
        <f>SUM('Personnel Yr 2'!N41,'Personnel Yr 2'!N44,'Personnel Yr 2'!N46,'Personnel Yr 2'!N47) + SUMIF('Personnel Yr 2'!H7:H14,"Non-Tenure Track Faculty - Hourly",'Personnel Yr 2'!U7:U14) + SUMIF('Personnel Yr 2'!H20:H34,"Non-Tenure Track Faculty - Hourly",'Personnel Yr 2'!U20:U34)</f>
        <v>0</v>
      </c>
      <c r="F123" s="69">
        <f>SUM('Personnel Yr 3'!N41,'Personnel Yr 3'!N44,'Personnel Yr 3'!N46,'Personnel Yr 3'!N47) + SUMIF('Personnel Yr 3'!H7:H14,"Non-Tenure Track Faculty - Hourly",'Personnel Yr 3'!U7:U14) + SUMIF('Personnel Yr 3'!H20:H34,"Non-Tenure Track Faculty - Hourly",'Personnel Yr 3'!U20:U34)</f>
        <v>0</v>
      </c>
      <c r="G123" s="69">
        <f>SUM('Personnel Yr 4'!N41,'Personnel Yr 4'!N44,'Personnel Yr 4'!N46,'Personnel Yr 4'!N47) + SUMIF('Personnel Yr 4'!H7:H14,"Non-Tenure Track Faculty - Hourly",'Personnel Yr 4'!U7:U14) + SUMIF('Personnel Yr 4'!H20:H34,"Non-Tenure Track Faculty - Hourly",'Personnel Yr 4'!U20:U34)</f>
        <v>0</v>
      </c>
      <c r="H123" s="69">
        <f>SUM('Personnel Yr 5'!N41,'Personnel Yr 5'!N44,'Personnel Yr 5'!N46,'Personnel Yr 5'!N47) + SUMIF('Personnel Yr 5'!H7:H14,"Non-Tenure Track Faculty - Hourly",'Personnel Yr 5'!U7:U14) + SUMIF('Personnel Yr 5'!H20:H34,"Non-Tenure Track Faculty - Hourly",'Personnel Yr 5'!U20:U34)</f>
        <v>0</v>
      </c>
      <c r="I123" s="69">
        <f t="shared" si="7"/>
        <v>0</v>
      </c>
    </row>
    <row r="124" spans="1:9" x14ac:dyDescent="0.2">
      <c r="A124" s="737" t="str">
        <f>"5)  " &amp; LOOKUP("Adjunct",Ben,Per)*100 &amp; "% (Adjunct)"</f>
        <v>5)  12.8% (Adjunct)</v>
      </c>
      <c r="B124" s="738"/>
      <c r="C124" s="358"/>
      <c r="D124" s="150">
        <f>SUM('Personnel Yr 1'!N48)</f>
        <v>0</v>
      </c>
      <c r="E124" s="150">
        <f>SUM('Personnel Yr 2'!N48)</f>
        <v>0</v>
      </c>
      <c r="F124" s="150">
        <f>SUM('Personnel Yr 3'!N48)</f>
        <v>0</v>
      </c>
      <c r="G124" s="150">
        <f>SUM('Personnel Yr 4'!N48)</f>
        <v>0</v>
      </c>
      <c r="H124" s="150">
        <f>SUM('Personnel Yr 5'!N48)</f>
        <v>0</v>
      </c>
      <c r="I124" s="69">
        <f t="shared" si="7"/>
        <v>0</v>
      </c>
    </row>
    <row r="125" spans="1:9" ht="13.5" thickBot="1" x14ac:dyDescent="0.25">
      <c r="A125" s="707" t="s">
        <v>138</v>
      </c>
      <c r="B125" s="708"/>
      <c r="C125" s="78" t="s">
        <v>139</v>
      </c>
      <c r="D125" s="79">
        <f>SUM(D120:D124)</f>
        <v>0</v>
      </c>
      <c r="E125" s="79">
        <f>SUM(E120:E124)</f>
        <v>0</v>
      </c>
      <c r="F125" s="79">
        <f>SUM(F120:F124)</f>
        <v>0</v>
      </c>
      <c r="G125" s="79">
        <f>SUM(G120:G124)</f>
        <v>0</v>
      </c>
      <c r="H125" s="79">
        <f>SUM(H120:H124)</f>
        <v>0</v>
      </c>
      <c r="I125" s="79">
        <f>SUM(D125:H125)</f>
        <v>0</v>
      </c>
    </row>
    <row r="126" spans="1:9" ht="13.5" thickTop="1" x14ac:dyDescent="0.2">
      <c r="A126" s="99"/>
      <c r="B126" s="100"/>
      <c r="C126" s="100"/>
      <c r="D126" s="100"/>
      <c r="E126" s="100"/>
      <c r="F126" s="100"/>
      <c r="G126" s="100"/>
      <c r="H126" s="100"/>
      <c r="I126" s="166"/>
    </row>
    <row r="127" spans="1:9" ht="13.5" thickBot="1" x14ac:dyDescent="0.25">
      <c r="A127" s="707" t="s">
        <v>140</v>
      </c>
      <c r="B127" s="708"/>
      <c r="C127" s="105"/>
      <c r="D127" s="106">
        <f>SUM(D125,D117)</f>
        <v>0</v>
      </c>
      <c r="E127" s="106">
        <f>SUM(E125,E117)</f>
        <v>0</v>
      </c>
      <c r="F127" s="106">
        <f>SUM(F125,F117)</f>
        <v>0</v>
      </c>
      <c r="G127" s="106">
        <f>SUM(G125,G117)</f>
        <v>0</v>
      </c>
      <c r="H127" s="106">
        <f>SUM(H125,H117)</f>
        <v>0</v>
      </c>
      <c r="I127" s="107">
        <f>SUM(D127:H127)</f>
        <v>0</v>
      </c>
    </row>
    <row r="128" spans="1:9" ht="13.5" thickTop="1" x14ac:dyDescent="0.2">
      <c r="A128" s="24"/>
      <c r="B128" s="102"/>
      <c r="C128" s="102"/>
      <c r="D128" s="102"/>
      <c r="E128" s="102"/>
      <c r="F128" s="102"/>
      <c r="G128" s="102"/>
      <c r="H128" s="102"/>
      <c r="I128" s="102"/>
    </row>
    <row r="129" spans="1:9" x14ac:dyDescent="0.2">
      <c r="A129" s="701" t="s">
        <v>141</v>
      </c>
      <c r="B129" s="701"/>
      <c r="C129" s="66" t="s">
        <v>119</v>
      </c>
      <c r="D129" s="82" t="s">
        <v>32</v>
      </c>
      <c r="E129" s="82" t="s">
        <v>33</v>
      </c>
      <c r="F129" s="82" t="s">
        <v>34</v>
      </c>
      <c r="G129" s="82" t="s">
        <v>35</v>
      </c>
      <c r="H129" s="82" t="s">
        <v>36</v>
      </c>
      <c r="I129" s="67" t="s">
        <v>37</v>
      </c>
    </row>
    <row r="130" spans="1:9" x14ac:dyDescent="0.2">
      <c r="A130" s="699" t="s">
        <v>183</v>
      </c>
      <c r="B130" s="700"/>
      <c r="C130" s="97" t="s">
        <v>142</v>
      </c>
      <c r="D130" s="69">
        <f>SUM('Non-personnel'!H15:I15)</f>
        <v>0</v>
      </c>
      <c r="E130" s="69">
        <f>SUM('Non-personnel'!J15:K15)</f>
        <v>0</v>
      </c>
      <c r="F130" s="69">
        <f>SUM('Non-personnel'!L15:M15)</f>
        <v>0</v>
      </c>
      <c r="G130" s="69">
        <f>SUM('Non-personnel'!M15:O15)</f>
        <v>0</v>
      </c>
      <c r="H130" s="69">
        <f>SUM('Non-personnel'!P15:Q15)</f>
        <v>0</v>
      </c>
      <c r="I130" s="69">
        <f>SUM(D130:H130)</f>
        <v>0</v>
      </c>
    </row>
    <row r="131" spans="1:9" ht="13.5" thickBot="1" x14ac:dyDescent="0.25">
      <c r="A131" s="707" t="s">
        <v>143</v>
      </c>
      <c r="B131" s="708"/>
      <c r="C131" s="108" t="s">
        <v>142</v>
      </c>
      <c r="D131" s="109">
        <f>SUM('Non-personnel'!H15:I15)</f>
        <v>0</v>
      </c>
      <c r="E131" s="109">
        <f>SUM('Non-personnel'!J15:K15)</f>
        <v>0</v>
      </c>
      <c r="F131" s="109">
        <f>SUM('Non-personnel'!L15:M15)</f>
        <v>0</v>
      </c>
      <c r="G131" s="109">
        <f>SUM('Non-personnel'!N15:O15)</f>
        <v>0</v>
      </c>
      <c r="H131" s="109">
        <f>SUM('Non-personnel'!P15:Q15)</f>
        <v>0</v>
      </c>
      <c r="I131" s="79">
        <f>SUM(D131:H131)</f>
        <v>0</v>
      </c>
    </row>
    <row r="132" spans="1:9" ht="13.5" thickTop="1" x14ac:dyDescent="0.2">
      <c r="A132" s="24"/>
      <c r="B132" s="110"/>
      <c r="C132" s="110"/>
      <c r="D132" s="110"/>
      <c r="E132" s="110"/>
      <c r="F132" s="110"/>
      <c r="G132" s="110"/>
      <c r="H132" s="110"/>
      <c r="I132" s="110"/>
    </row>
    <row r="133" spans="1:9" x14ac:dyDescent="0.2">
      <c r="A133" s="701" t="s">
        <v>144</v>
      </c>
      <c r="B133" s="701"/>
      <c r="C133" s="66" t="s">
        <v>119</v>
      </c>
      <c r="D133" s="82" t="s">
        <v>32</v>
      </c>
      <c r="E133" s="82" t="s">
        <v>33</v>
      </c>
      <c r="F133" s="82" t="s">
        <v>34</v>
      </c>
      <c r="G133" s="82" t="s">
        <v>35</v>
      </c>
      <c r="H133" s="82" t="s">
        <v>36</v>
      </c>
      <c r="I133" s="67" t="s">
        <v>37</v>
      </c>
    </row>
    <row r="134" spans="1:9" x14ac:dyDescent="0.2">
      <c r="A134" s="699" t="s">
        <v>184</v>
      </c>
      <c r="B134" s="700"/>
      <c r="C134" s="97" t="s">
        <v>145</v>
      </c>
      <c r="D134" s="69">
        <f>SUM('Non-personnel'!H19:I19)</f>
        <v>0</v>
      </c>
      <c r="E134" s="69">
        <f>SUM('Non-personnel'!J19:K19)</f>
        <v>0</v>
      </c>
      <c r="F134" s="69">
        <f>SUM('Non-personnel'!L19:M19)</f>
        <v>0</v>
      </c>
      <c r="G134" s="69">
        <f>SUM('Non-personnel'!N19:O19)</f>
        <v>0</v>
      </c>
      <c r="H134" s="69">
        <f>SUM('Non-personnel'!P19:Q19)</f>
        <v>0</v>
      </c>
      <c r="I134" s="69">
        <f>SUM(D134:H134)</f>
        <v>0</v>
      </c>
    </row>
    <row r="135" spans="1:9" x14ac:dyDescent="0.2">
      <c r="A135" s="699" t="s">
        <v>185</v>
      </c>
      <c r="B135" s="700"/>
      <c r="C135" s="97" t="s">
        <v>146</v>
      </c>
      <c r="D135" s="69">
        <f>SUM('Non-personnel'!H20:I20)</f>
        <v>0</v>
      </c>
      <c r="E135" s="69">
        <f>SUM('Non-personnel'!J20:K20)</f>
        <v>0</v>
      </c>
      <c r="F135" s="69">
        <f>SUM('Non-personnel'!L20:M20)</f>
        <v>0</v>
      </c>
      <c r="G135" s="69">
        <f>SUM('Non-personnel'!N20:O20)</f>
        <v>0</v>
      </c>
      <c r="H135" s="69">
        <f>SUM('Non-personnel'!P20:Q20)</f>
        <v>0</v>
      </c>
      <c r="I135" s="69">
        <f>SUM(D135:H135)</f>
        <v>0</v>
      </c>
    </row>
    <row r="136" spans="1:9" ht="13.5" thickBot="1" x14ac:dyDescent="0.25">
      <c r="A136" s="707" t="s">
        <v>147</v>
      </c>
      <c r="B136" s="708"/>
      <c r="C136" s="108" t="s">
        <v>148</v>
      </c>
      <c r="D136" s="109">
        <f>SUM('Non-personnel'!H21:I21)</f>
        <v>0</v>
      </c>
      <c r="E136" s="109">
        <f>SUM('Non-personnel'!J21:K21)</f>
        <v>0</v>
      </c>
      <c r="F136" s="109">
        <f>SUM('Non-personnel'!L21:M21)</f>
        <v>0</v>
      </c>
      <c r="G136" s="109">
        <f>SUM('Non-personnel'!N21:O21)</f>
        <v>0</v>
      </c>
      <c r="H136" s="109">
        <f>SUM('Non-personnel'!P21:Q21)</f>
        <v>0</v>
      </c>
      <c r="I136" s="79">
        <f>SUM(D136:H136)</f>
        <v>0</v>
      </c>
    </row>
    <row r="137" spans="1:9" x14ac:dyDescent="0.2">
      <c r="A137" s="24"/>
      <c r="B137" s="110"/>
      <c r="C137" s="110"/>
      <c r="D137" s="110"/>
      <c r="E137" s="110"/>
      <c r="F137" s="110"/>
      <c r="G137" s="110"/>
      <c r="H137" s="110"/>
      <c r="I137" s="110"/>
    </row>
    <row r="138" spans="1:9" x14ac:dyDescent="0.2">
      <c r="A138" s="701" t="s">
        <v>149</v>
      </c>
      <c r="B138" s="713"/>
      <c r="C138" s="66" t="s">
        <v>119</v>
      </c>
      <c r="D138" s="82" t="s">
        <v>32</v>
      </c>
      <c r="E138" s="82" t="s">
        <v>33</v>
      </c>
      <c r="F138" s="82" t="s">
        <v>34</v>
      </c>
      <c r="G138" s="82" t="s">
        <v>35</v>
      </c>
      <c r="H138" s="82" t="s">
        <v>36</v>
      </c>
      <c r="I138" s="82" t="s">
        <v>37</v>
      </c>
    </row>
    <row r="139" spans="1:9" x14ac:dyDescent="0.2">
      <c r="A139" s="699" t="s">
        <v>186</v>
      </c>
      <c r="B139" s="700"/>
      <c r="C139" s="97" t="s">
        <v>150</v>
      </c>
      <c r="D139" s="69">
        <f>'Non-personnel'!H25</f>
        <v>0</v>
      </c>
      <c r="E139" s="69">
        <f>'Non-personnel'!J25</f>
        <v>0</v>
      </c>
      <c r="F139" s="69">
        <f>'Non-personnel'!L25</f>
        <v>0</v>
      </c>
      <c r="G139" s="69">
        <f>'Non-personnel'!N25</f>
        <v>0</v>
      </c>
      <c r="H139" s="69">
        <f>'Non-personnel'!P25</f>
        <v>0</v>
      </c>
      <c r="I139" s="69">
        <f>SUM(D139:H139)</f>
        <v>0</v>
      </c>
    </row>
    <row r="140" spans="1:9" x14ac:dyDescent="0.2">
      <c r="A140" s="699" t="s">
        <v>187</v>
      </c>
      <c r="B140" s="700"/>
      <c r="C140" s="277" t="s">
        <v>444</v>
      </c>
      <c r="D140" s="69">
        <f>'Non-personnel'!H26</f>
        <v>0</v>
      </c>
      <c r="E140" s="69">
        <f>'Non-personnel'!J26</f>
        <v>0</v>
      </c>
      <c r="F140" s="69">
        <f>'Non-personnel'!L26</f>
        <v>0</v>
      </c>
      <c r="G140" s="69">
        <f>'Non-personnel'!N26</f>
        <v>0</v>
      </c>
      <c r="H140" s="69">
        <f>'Non-personnel'!P26</f>
        <v>0</v>
      </c>
      <c r="I140" s="69">
        <f>SUM(D140:H140)</f>
        <v>0</v>
      </c>
    </row>
    <row r="141" spans="1:9" x14ac:dyDescent="0.2">
      <c r="A141" s="699" t="s">
        <v>188</v>
      </c>
      <c r="B141" s="700"/>
      <c r="C141" s="97" t="s">
        <v>151</v>
      </c>
      <c r="D141" s="69">
        <f>'Non-personnel'!H27</f>
        <v>0</v>
      </c>
      <c r="E141" s="69">
        <f>'Non-personnel'!J27</f>
        <v>0</v>
      </c>
      <c r="F141" s="69">
        <f>'Non-personnel'!L27</f>
        <v>0</v>
      </c>
      <c r="G141" s="69">
        <f>'Non-personnel'!N27</f>
        <v>0</v>
      </c>
      <c r="H141" s="69">
        <f>'Non-personnel'!P27</f>
        <v>0</v>
      </c>
      <c r="I141" s="69">
        <f>SUM(D141:H141)</f>
        <v>0</v>
      </c>
    </row>
    <row r="142" spans="1:9" x14ac:dyDescent="0.2">
      <c r="A142" s="699" t="s">
        <v>189</v>
      </c>
      <c r="B142" s="700"/>
      <c r="C142" s="97" t="s">
        <v>152</v>
      </c>
      <c r="D142" s="69">
        <f>'Non-personnel'!H28</f>
        <v>0</v>
      </c>
      <c r="E142" s="69">
        <f>'Non-personnel'!J28</f>
        <v>0</v>
      </c>
      <c r="F142" s="69">
        <f>'Non-personnel'!L28</f>
        <v>0</v>
      </c>
      <c r="G142" s="69">
        <f>'Non-personnel'!N28</f>
        <v>0</v>
      </c>
      <c r="H142" s="69">
        <f>'Non-personnel'!P28</f>
        <v>0</v>
      </c>
      <c r="I142" s="69">
        <f>SUM(D142:H142)</f>
        <v>0</v>
      </c>
    </row>
    <row r="143" spans="1:9" ht="13.5" thickBot="1" x14ac:dyDescent="0.25">
      <c r="A143" s="707" t="s">
        <v>153</v>
      </c>
      <c r="B143" s="708"/>
      <c r="C143" s="104"/>
      <c r="D143" s="109">
        <f>'Non-personnel'!H29</f>
        <v>0</v>
      </c>
      <c r="E143" s="109">
        <f>'Non-personnel'!J29</f>
        <v>0</v>
      </c>
      <c r="F143" s="109">
        <f>'Non-personnel'!L29</f>
        <v>0</v>
      </c>
      <c r="G143" s="109">
        <f>'Non-personnel'!N29</f>
        <v>0</v>
      </c>
      <c r="H143" s="109">
        <f>'Non-personnel'!P29</f>
        <v>0</v>
      </c>
      <c r="I143" s="79">
        <f>SUM(D143:H143)</f>
        <v>0</v>
      </c>
    </row>
    <row r="144" spans="1:9" ht="13.5" thickTop="1" x14ac:dyDescent="0.2">
      <c r="A144" s="4"/>
      <c r="B144" s="4"/>
      <c r="C144" s="4"/>
      <c r="D144" s="112"/>
      <c r="E144" s="112"/>
      <c r="F144" s="112"/>
      <c r="G144" s="112"/>
      <c r="H144" s="112"/>
      <c r="I144" s="100"/>
    </row>
    <row r="145" spans="1:9" x14ac:dyDescent="0.2">
      <c r="A145" s="701" t="s">
        <v>154</v>
      </c>
      <c r="B145" s="713"/>
      <c r="C145" s="66" t="s">
        <v>119</v>
      </c>
      <c r="D145" s="82" t="s">
        <v>32</v>
      </c>
      <c r="E145" s="82" t="s">
        <v>33</v>
      </c>
      <c r="F145" s="82" t="s">
        <v>34</v>
      </c>
      <c r="G145" s="82" t="s">
        <v>35</v>
      </c>
      <c r="H145" s="82" t="s">
        <v>36</v>
      </c>
      <c r="I145" s="67" t="s">
        <v>37</v>
      </c>
    </row>
    <row r="146" spans="1:9" x14ac:dyDescent="0.2">
      <c r="A146" s="750" t="s">
        <v>190</v>
      </c>
      <c r="B146" s="702"/>
      <c r="C146" s="97" t="s">
        <v>155</v>
      </c>
      <c r="D146" s="69">
        <f>'Non-personnel'!H34</f>
        <v>0</v>
      </c>
      <c r="E146" s="69">
        <f>'Non-personnel'!J34</f>
        <v>0</v>
      </c>
      <c r="F146" s="69">
        <f>'Non-personnel'!L34</f>
        <v>0</v>
      </c>
      <c r="G146" s="69">
        <f>'Non-personnel'!N34</f>
        <v>0</v>
      </c>
      <c r="H146" s="69">
        <f>'Non-personnel'!P34</f>
        <v>0</v>
      </c>
      <c r="I146" s="69">
        <f>SUM(D146:H146)</f>
        <v>0</v>
      </c>
    </row>
    <row r="147" spans="1:9" x14ac:dyDescent="0.2">
      <c r="A147" s="750" t="s">
        <v>191</v>
      </c>
      <c r="B147" s="702"/>
      <c r="C147" s="97" t="s">
        <v>156</v>
      </c>
      <c r="D147" s="69">
        <f>'Non-personnel'!H36</f>
        <v>0</v>
      </c>
      <c r="E147" s="69">
        <f>'Non-personnel'!J36</f>
        <v>0</v>
      </c>
      <c r="F147" s="69">
        <f>'Non-personnel'!L36</f>
        <v>0</v>
      </c>
      <c r="G147" s="69">
        <f>'Non-personnel'!N36</f>
        <v>0</v>
      </c>
      <c r="H147" s="69">
        <f>'Non-personnel'!P36</f>
        <v>0</v>
      </c>
      <c r="I147" s="69">
        <f>SUM(D147:H147)</f>
        <v>0</v>
      </c>
    </row>
    <row r="148" spans="1:9" x14ac:dyDescent="0.2">
      <c r="A148" s="750" t="s">
        <v>192</v>
      </c>
      <c r="B148" s="702"/>
      <c r="C148" s="97"/>
      <c r="D148" s="69"/>
      <c r="E148" s="69"/>
      <c r="F148" s="69"/>
      <c r="G148" s="69"/>
      <c r="H148" s="69"/>
      <c r="I148" s="69"/>
    </row>
    <row r="149" spans="1:9" x14ac:dyDescent="0.2">
      <c r="A149" s="703" t="s">
        <v>193</v>
      </c>
      <c r="B149" s="704"/>
      <c r="C149" s="97" t="s">
        <v>157</v>
      </c>
      <c r="D149" s="69">
        <f>D205</f>
        <v>0</v>
      </c>
      <c r="E149" s="69">
        <f>E205</f>
        <v>0</v>
      </c>
      <c r="F149" s="69">
        <f>F205</f>
        <v>0</v>
      </c>
      <c r="G149" s="69">
        <f>G205</f>
        <v>0</v>
      </c>
      <c r="H149" s="69">
        <f>H205</f>
        <v>0</v>
      </c>
      <c r="I149" s="69">
        <f>SUM(D149:H149)</f>
        <v>0</v>
      </c>
    </row>
    <row r="150" spans="1:9" x14ac:dyDescent="0.2">
      <c r="A150" s="703" t="s">
        <v>194</v>
      </c>
      <c r="B150" s="704"/>
      <c r="C150" s="97" t="s">
        <v>158</v>
      </c>
      <c r="D150" s="69">
        <f>D204-D205</f>
        <v>0</v>
      </c>
      <c r="E150" s="69">
        <f>E204-E205</f>
        <v>0</v>
      </c>
      <c r="F150" s="69">
        <f>F204-F205</f>
        <v>0</v>
      </c>
      <c r="G150" s="69">
        <f>G204-G205</f>
        <v>0</v>
      </c>
      <c r="H150" s="69">
        <f>H204-H205</f>
        <v>0</v>
      </c>
      <c r="I150" s="69">
        <f>SUM(D150:H150)</f>
        <v>0</v>
      </c>
    </row>
    <row r="151" spans="1:9" x14ac:dyDescent="0.2">
      <c r="A151" s="750" t="s">
        <v>159</v>
      </c>
      <c r="B151" s="702"/>
      <c r="C151" s="97" t="s">
        <v>160</v>
      </c>
      <c r="D151" s="69">
        <f>'Non-personnel'!H40</f>
        <v>0</v>
      </c>
      <c r="E151" s="69">
        <f>'Non-personnel'!J40</f>
        <v>0</v>
      </c>
      <c r="F151" s="69">
        <f>'Non-personnel'!L40</f>
        <v>0</v>
      </c>
      <c r="G151" s="69">
        <f>'Non-personnel'!N40</f>
        <v>0</v>
      </c>
      <c r="H151" s="69">
        <f>'Non-personnel'!P40</f>
        <v>0</v>
      </c>
      <c r="I151" s="69">
        <f>SUM(D151:H151)</f>
        <v>0</v>
      </c>
    </row>
    <row r="152" spans="1:9" x14ac:dyDescent="0.2">
      <c r="A152" s="697" t="s">
        <v>195</v>
      </c>
      <c r="B152" s="702"/>
      <c r="C152" s="97"/>
      <c r="D152" s="69"/>
      <c r="E152" s="69"/>
      <c r="F152" s="69"/>
      <c r="G152" s="69"/>
      <c r="H152" s="69"/>
      <c r="I152" s="69"/>
    </row>
    <row r="153" spans="1:9" x14ac:dyDescent="0.2">
      <c r="A153" s="703" t="s">
        <v>196</v>
      </c>
      <c r="B153" s="704"/>
      <c r="C153" s="281" t="s">
        <v>409</v>
      </c>
      <c r="D153" s="69">
        <f>'Non-personnel'!H35</f>
        <v>0</v>
      </c>
      <c r="E153" s="69">
        <f>'Non-personnel'!J35</f>
        <v>0</v>
      </c>
      <c r="F153" s="69">
        <f>'Non-personnel'!L35</f>
        <v>0</v>
      </c>
      <c r="G153" s="69">
        <f>'Non-personnel'!N35</f>
        <v>0</v>
      </c>
      <c r="H153" s="69">
        <f>'Non-personnel'!P35</f>
        <v>0</v>
      </c>
      <c r="I153" s="69">
        <f t="shared" ref="I153:I166" si="8">SUM(D153:H153)</f>
        <v>0</v>
      </c>
    </row>
    <row r="154" spans="1:9" x14ac:dyDescent="0.2">
      <c r="A154" s="748" t="s">
        <v>197</v>
      </c>
      <c r="B154" s="749"/>
      <c r="C154" s="281" t="s">
        <v>410</v>
      </c>
      <c r="D154" s="69">
        <f>'Non-personnel'!H37</f>
        <v>0</v>
      </c>
      <c r="E154" s="69">
        <f>'Non-personnel'!J37</f>
        <v>0</v>
      </c>
      <c r="F154" s="69">
        <f>'Non-personnel'!L37</f>
        <v>0</v>
      </c>
      <c r="G154" s="69">
        <f>'Non-personnel'!N37</f>
        <v>0</v>
      </c>
      <c r="H154" s="69">
        <f>'Non-personnel'!P37</f>
        <v>0</v>
      </c>
      <c r="I154" s="69">
        <f t="shared" si="8"/>
        <v>0</v>
      </c>
    </row>
    <row r="155" spans="1:9" x14ac:dyDescent="0.2">
      <c r="A155" s="703" t="s">
        <v>394</v>
      </c>
      <c r="B155" s="704"/>
      <c r="C155" s="113" t="s">
        <v>164</v>
      </c>
      <c r="D155" s="69">
        <f>'Non-personnel'!H39</f>
        <v>0</v>
      </c>
      <c r="E155" s="69">
        <f>'Non-personnel'!J39</f>
        <v>0</v>
      </c>
      <c r="F155" s="69">
        <f>'Non-personnel'!L39</f>
        <v>0</v>
      </c>
      <c r="G155" s="69">
        <f>'Non-personnel'!N39</f>
        <v>0</v>
      </c>
      <c r="H155" s="69">
        <f>'Non-personnel'!P39</f>
        <v>0</v>
      </c>
      <c r="I155" s="69">
        <f t="shared" si="8"/>
        <v>0</v>
      </c>
    </row>
    <row r="156" spans="1:9" x14ac:dyDescent="0.2">
      <c r="A156" s="711" t="s">
        <v>420</v>
      </c>
      <c r="B156" s="747"/>
      <c r="C156" s="281" t="s">
        <v>412</v>
      </c>
      <c r="D156" s="69">
        <f>'Non-personnel'!H41</f>
        <v>0</v>
      </c>
      <c r="E156" s="69">
        <f>'Non-personnel'!J41</f>
        <v>0</v>
      </c>
      <c r="F156" s="69">
        <f>'Non-personnel'!L41</f>
        <v>0</v>
      </c>
      <c r="G156" s="69">
        <f>'Non-personnel'!N41</f>
        <v>0</v>
      </c>
      <c r="H156" s="69">
        <f>'Non-personnel'!P41</f>
        <v>0</v>
      </c>
      <c r="I156" s="69">
        <f>SUM(D156:H156)</f>
        <v>0</v>
      </c>
    </row>
    <row r="157" spans="1:9" x14ac:dyDescent="0.2">
      <c r="A157" s="711" t="s">
        <v>413</v>
      </c>
      <c r="B157" s="712"/>
      <c r="C157" s="113" t="s">
        <v>411</v>
      </c>
      <c r="D157" s="69">
        <f>'Non-personnel'!H42</f>
        <v>0</v>
      </c>
      <c r="E157" s="69">
        <f>'Non-personnel'!J42</f>
        <v>0</v>
      </c>
      <c r="F157" s="69">
        <f>'Non-personnel'!L42</f>
        <v>0</v>
      </c>
      <c r="G157" s="69">
        <f>'Non-personnel'!N42</f>
        <v>0</v>
      </c>
      <c r="H157" s="69">
        <f>'Non-personnel'!P42</f>
        <v>0</v>
      </c>
      <c r="I157" s="69">
        <f t="shared" ref="I157:I158" si="9">SUM(D157:H157)</f>
        <v>0</v>
      </c>
    </row>
    <row r="158" spans="1:9" x14ac:dyDescent="0.2">
      <c r="A158" s="711" t="s">
        <v>415</v>
      </c>
      <c r="B158" s="712"/>
      <c r="C158" s="281" t="s">
        <v>414</v>
      </c>
      <c r="D158" s="69">
        <f>'Non-personnel'!H43</f>
        <v>0</v>
      </c>
      <c r="E158" s="69">
        <f>'Non-personnel'!J43</f>
        <v>0</v>
      </c>
      <c r="F158" s="69">
        <f>'Non-personnel'!L43</f>
        <v>0</v>
      </c>
      <c r="G158" s="69">
        <f>'Non-personnel'!N43</f>
        <v>0</v>
      </c>
      <c r="H158" s="69">
        <f>'Non-personnel'!P43</f>
        <v>0</v>
      </c>
      <c r="I158" s="69">
        <f t="shared" si="9"/>
        <v>0</v>
      </c>
    </row>
    <row r="159" spans="1:9" x14ac:dyDescent="0.2">
      <c r="A159" s="703" t="str">
        <f>"g)  " &amp; 'Non-personnel'!B44</f>
        <v>g)  Other - Describe</v>
      </c>
      <c r="B159" s="704"/>
      <c r="C159" s="281" t="s">
        <v>161</v>
      </c>
      <c r="D159" s="69">
        <f>'Non-personnel'!H44</f>
        <v>0</v>
      </c>
      <c r="E159" s="69">
        <f>'Non-personnel'!J44</f>
        <v>0</v>
      </c>
      <c r="F159" s="69">
        <f>'Non-personnel'!L44</f>
        <v>0</v>
      </c>
      <c r="G159" s="69">
        <f>'Non-personnel'!N44</f>
        <v>0</v>
      </c>
      <c r="H159" s="69">
        <f>'Non-personnel'!P44</f>
        <v>0</v>
      </c>
      <c r="I159" s="69">
        <f>SUM(D159:H159)</f>
        <v>0</v>
      </c>
    </row>
    <row r="160" spans="1:9" x14ac:dyDescent="0.2">
      <c r="A160" s="703" t="str">
        <f>"h)  " &amp; 'Non-personnel'!B45</f>
        <v>h)  Other - Describe</v>
      </c>
      <c r="B160" s="704"/>
      <c r="C160" s="281" t="s">
        <v>162</v>
      </c>
      <c r="D160" s="69">
        <f>'Non-personnel'!H45</f>
        <v>0</v>
      </c>
      <c r="E160" s="69">
        <f>'Non-personnel'!J45</f>
        <v>0</v>
      </c>
      <c r="F160" s="69">
        <f>'Non-personnel'!L45</f>
        <v>0</v>
      </c>
      <c r="G160" s="69">
        <f>'Non-personnel'!N45</f>
        <v>0</v>
      </c>
      <c r="H160" s="69">
        <f>'Non-personnel'!P45</f>
        <v>0</v>
      </c>
      <c r="I160" s="69">
        <f t="shared" ref="I160" si="10">SUM(D160:H160)</f>
        <v>0</v>
      </c>
    </row>
    <row r="161" spans="1:15" x14ac:dyDescent="0.2">
      <c r="A161" s="703" t="str">
        <f>"i)   " &amp; 'Non-personnel'!B46</f>
        <v>i)   Other - Describe</v>
      </c>
      <c r="B161" s="704"/>
      <c r="C161" s="281" t="s">
        <v>163</v>
      </c>
      <c r="D161" s="69">
        <f>'Non-personnel'!H46</f>
        <v>0</v>
      </c>
      <c r="E161" s="69">
        <f>'Non-personnel'!J46</f>
        <v>0</v>
      </c>
      <c r="F161" s="69">
        <f>'Non-personnel'!L46</f>
        <v>0</v>
      </c>
      <c r="G161" s="69">
        <f>'Non-personnel'!N46</f>
        <v>0</v>
      </c>
      <c r="H161" s="69">
        <f>'Non-personnel'!P46</f>
        <v>0</v>
      </c>
      <c r="I161" s="69">
        <f>SUM(D161:H161)</f>
        <v>0</v>
      </c>
    </row>
    <row r="162" spans="1:15" x14ac:dyDescent="0.2">
      <c r="A162" s="703" t="str">
        <f>"j)   " &amp; 'Non-personnel'!B47</f>
        <v>j)   Other - Describe</v>
      </c>
      <c r="B162" s="704"/>
      <c r="C162" s="281" t="s">
        <v>165</v>
      </c>
      <c r="D162" s="69">
        <f>'Non-personnel'!H47</f>
        <v>0</v>
      </c>
      <c r="E162" s="69">
        <f>'Non-personnel'!J47</f>
        <v>0</v>
      </c>
      <c r="F162" s="69">
        <f>'Non-personnel'!L47</f>
        <v>0</v>
      </c>
      <c r="G162" s="69">
        <f>'Non-personnel'!N47</f>
        <v>0</v>
      </c>
      <c r="H162" s="69">
        <f>'Non-personnel'!P47</f>
        <v>0</v>
      </c>
      <c r="I162" s="69">
        <f t="shared" si="8"/>
        <v>0</v>
      </c>
    </row>
    <row r="163" spans="1:15" x14ac:dyDescent="0.2">
      <c r="A163" s="463"/>
      <c r="B163" s="501"/>
      <c r="C163" s="114" t="s">
        <v>166</v>
      </c>
      <c r="D163" s="77">
        <f>SUM(D159,D160,D161,D162)</f>
        <v>0</v>
      </c>
      <c r="E163" s="77">
        <f t="shared" ref="E163:H163" si="11">SUM(E159,E160,E161,E162)</f>
        <v>0</v>
      </c>
      <c r="F163" s="77">
        <f t="shared" si="11"/>
        <v>0</v>
      </c>
      <c r="G163" s="77">
        <f t="shared" si="11"/>
        <v>0</v>
      </c>
      <c r="H163" s="77">
        <f t="shared" si="11"/>
        <v>0</v>
      </c>
      <c r="I163" s="77">
        <f t="shared" si="8"/>
        <v>0</v>
      </c>
    </row>
    <row r="164" spans="1:15" x14ac:dyDescent="0.2">
      <c r="A164" s="727" t="s">
        <v>167</v>
      </c>
      <c r="B164" s="753"/>
      <c r="C164" s="114"/>
      <c r="D164" s="115">
        <f>SUM(D146,D147,D149,D153,D154,D158,D159,D160,D161,D162)</f>
        <v>0</v>
      </c>
      <c r="E164" s="115">
        <f>SUM(E146,E147,E149,E153,E154,E158,E159,E160,E161,E162)</f>
        <v>0</v>
      </c>
      <c r="F164" s="115">
        <f>SUM(F146,F147,F149,F153,F154,F158,F159,F160,F161,F162)</f>
        <v>0</v>
      </c>
      <c r="G164" s="115">
        <f>SUM(G146,G147,G149,G153,G154,G158,G159,G160,G161,G162)</f>
        <v>0</v>
      </c>
      <c r="H164" s="115">
        <f>SUM(H146,H147,H149,H153,H154,H158,H159,H160,H161,H162)</f>
        <v>0</v>
      </c>
      <c r="I164" s="77">
        <f t="shared" si="8"/>
        <v>0</v>
      </c>
    </row>
    <row r="165" spans="1:15" x14ac:dyDescent="0.2">
      <c r="A165" s="727" t="s">
        <v>168</v>
      </c>
      <c r="B165" s="752"/>
      <c r="C165" s="114"/>
      <c r="D165" s="115">
        <f>SUM(D150,D151,D155,D156,D157)</f>
        <v>0</v>
      </c>
      <c r="E165" s="115">
        <f t="shared" ref="E165:H165" si="12">SUM(E150,E151,E155,E156,E157)</f>
        <v>0</v>
      </c>
      <c r="F165" s="115">
        <f t="shared" si="12"/>
        <v>0</v>
      </c>
      <c r="G165" s="115">
        <f t="shared" si="12"/>
        <v>0</v>
      </c>
      <c r="H165" s="115">
        <f t="shared" si="12"/>
        <v>0</v>
      </c>
      <c r="I165" s="77">
        <f t="shared" si="8"/>
        <v>0</v>
      </c>
    </row>
    <row r="166" spans="1:15" ht="13.5" thickBot="1" x14ac:dyDescent="0.25">
      <c r="A166" s="705" t="s">
        <v>169</v>
      </c>
      <c r="B166" s="706"/>
      <c r="C166" s="116"/>
      <c r="D166" s="109">
        <f>SUM(D164:D165)</f>
        <v>0</v>
      </c>
      <c r="E166" s="109">
        <f>SUM(E164:E165)</f>
        <v>0</v>
      </c>
      <c r="F166" s="109">
        <f>SUM(F164:F165)</f>
        <v>0</v>
      </c>
      <c r="G166" s="109">
        <f>SUM(G164:G165)</f>
        <v>0</v>
      </c>
      <c r="H166" s="109">
        <f>SUM(H164:H165)</f>
        <v>0</v>
      </c>
      <c r="I166" s="79">
        <f t="shared" si="8"/>
        <v>0</v>
      </c>
    </row>
    <row r="167" spans="1:15" ht="13.5" thickTop="1" x14ac:dyDescent="0.2">
      <c r="A167" s="163"/>
      <c r="B167" s="117"/>
      <c r="C167" s="117"/>
      <c r="D167" s="117"/>
      <c r="E167" s="117"/>
      <c r="F167" s="117"/>
      <c r="G167" s="117"/>
      <c r="H167" s="117"/>
      <c r="I167" s="117"/>
    </row>
    <row r="168" spans="1:15" ht="15.75" x14ac:dyDescent="0.25">
      <c r="A168" s="751" t="s">
        <v>170</v>
      </c>
      <c r="B168" s="472"/>
      <c r="C168" s="64"/>
      <c r="D168" s="82"/>
      <c r="E168" s="82"/>
      <c r="F168" s="82"/>
      <c r="G168" s="82"/>
      <c r="H168" s="82"/>
      <c r="I168" s="82"/>
    </row>
    <row r="169" spans="1:15" x14ac:dyDescent="0.2">
      <c r="A169" s="228"/>
      <c r="B169" s="201"/>
      <c r="C169" s="66" t="s">
        <v>119</v>
      </c>
      <c r="D169" s="82" t="s">
        <v>32</v>
      </c>
      <c r="E169" s="82" t="s">
        <v>33</v>
      </c>
      <c r="F169" s="82" t="s">
        <v>34</v>
      </c>
      <c r="G169" s="82" t="s">
        <v>35</v>
      </c>
      <c r="H169" s="82" t="s">
        <v>36</v>
      </c>
      <c r="I169" s="67" t="s">
        <v>37</v>
      </c>
      <c r="L169" s="19"/>
      <c r="O169" s="167"/>
    </row>
    <row r="170" spans="1:15" ht="15.75" x14ac:dyDescent="0.25">
      <c r="A170" s="227" t="str">
        <f>'Non-personnel'!B57</f>
        <v>MTDC-Fed</v>
      </c>
      <c r="B170" s="757" t="s">
        <v>171</v>
      </c>
      <c r="C170" s="757"/>
      <c r="D170" s="229">
        <f>IF(AND('Non-personnel'!F57&lt;&gt;"",NOT(ISBLANK('Non-personnel'!F57))),IFERROR(LOOKUP('Non-personnel'!C57,IDCDesc,IDCRate),'Non-personnel'!C57),"")</f>
        <v>0.495</v>
      </c>
      <c r="E170" s="229" t="str">
        <f>IF(AND('Non-personnel'!F58&lt;&gt;"",NOT(ISBLANK('Non-personnel'!F58))),IFERROR(LOOKUP('Non-personnel'!C58,IDCDesc2,IDCRate2),'Non-personnel'!C58),"")</f>
        <v/>
      </c>
      <c r="F170" s="229" t="str">
        <f>IF(AND('Non-personnel'!F59&lt;&gt;"",NOT(ISBLANK('Non-personnel'!F59))),IFERROR(LOOKUP('Non-personnel'!C59,IDCDesc2,IDCRate2),'Non-personnel'!C59),"")</f>
        <v/>
      </c>
      <c r="G170" s="229" t="str">
        <f>IF(AND('Non-personnel'!F60&lt;&gt;"",NOT(ISBLANK('Non-personnel'!F60))),IFERROR(LOOKUP('Non-personnel'!C60,IDCDesc2,IDCRate2),'Non-personnel'!C60),"")</f>
        <v/>
      </c>
      <c r="H170" s="229" t="str">
        <f>IF(AND('Non-personnel'!F61&lt;&gt;"",NOT(ISBLANK('Non-personnel'!F61))),IFERROR(LOOKUP('Non-personnel'!C61,IDCDesc2,IDCRate2),'Non-personnel'!C61),"")</f>
        <v/>
      </c>
      <c r="I170" s="230"/>
    </row>
    <row r="171" spans="1:15" x14ac:dyDescent="0.2">
      <c r="A171" s="714" t="s">
        <v>172</v>
      </c>
      <c r="B171" s="715"/>
      <c r="C171" s="118"/>
      <c r="D171" s="160">
        <f>SUM('Non-personnel'!F57)</f>
        <v>0</v>
      </c>
      <c r="E171" s="160">
        <f>SUM('Non-personnel'!F58)</f>
        <v>0</v>
      </c>
      <c r="F171" s="160">
        <f>SUM('Non-personnel'!F59)</f>
        <v>0</v>
      </c>
      <c r="G171" s="160">
        <f>SUM('Non-personnel'!F60)</f>
        <v>0</v>
      </c>
      <c r="H171" s="160">
        <f>SUM('Non-personnel'!F61)</f>
        <v>0</v>
      </c>
      <c r="I171" s="161">
        <f>SUM(D171:H171)</f>
        <v>0</v>
      </c>
    </row>
    <row r="172" spans="1:15" ht="13.5" thickBot="1" x14ac:dyDescent="0.25">
      <c r="A172" s="755" t="s">
        <v>173</v>
      </c>
      <c r="B172" s="756"/>
      <c r="C172" s="108"/>
      <c r="D172" s="162">
        <f>D174-D171</f>
        <v>0</v>
      </c>
      <c r="E172" s="162">
        <f>E174-E171</f>
        <v>0</v>
      </c>
      <c r="F172" s="162">
        <f>F174-F171</f>
        <v>0</v>
      </c>
      <c r="G172" s="162">
        <f>G174-G171</f>
        <v>0</v>
      </c>
      <c r="H172" s="162">
        <f>H174-H171</f>
        <v>0</v>
      </c>
      <c r="I172" s="165">
        <f>SUM(D172:H172)</f>
        <v>0</v>
      </c>
      <c r="J172" s="119"/>
    </row>
    <row r="173" spans="1:15" ht="13.5" thickTop="1" x14ac:dyDescent="0.2">
      <c r="A173" s="120"/>
      <c r="B173" s="120"/>
      <c r="C173" s="120"/>
      <c r="D173" s="120"/>
      <c r="E173" s="120"/>
      <c r="F173" s="120"/>
      <c r="G173" s="120"/>
      <c r="H173" s="120"/>
      <c r="I173" s="120"/>
    </row>
    <row r="174" spans="1:15" ht="13.5" thickBot="1" x14ac:dyDescent="0.25">
      <c r="A174" s="718" t="s">
        <v>174</v>
      </c>
      <c r="B174" s="719"/>
      <c r="C174" s="121"/>
      <c r="D174" s="122">
        <f>'Non-personnel'!H52</f>
        <v>0</v>
      </c>
      <c r="E174" s="122">
        <f>'Non-personnel'!J52</f>
        <v>0</v>
      </c>
      <c r="F174" s="122">
        <f>'Non-personnel'!L52</f>
        <v>0</v>
      </c>
      <c r="G174" s="122">
        <f>'Non-personnel'!N52</f>
        <v>0</v>
      </c>
      <c r="H174" s="122">
        <f>'Non-personnel'!P52</f>
        <v>0</v>
      </c>
      <c r="I174" s="123">
        <f>SUM(D174:H174)</f>
        <v>0</v>
      </c>
    </row>
    <row r="175" spans="1:15" ht="13.5" thickTop="1" x14ac:dyDescent="0.2">
      <c r="A175" s="124"/>
      <c r="B175" s="125"/>
      <c r="C175" s="126"/>
      <c r="D175" s="126"/>
      <c r="E175" s="132"/>
      <c r="F175" s="126"/>
      <c r="G175" s="126"/>
      <c r="H175" s="126"/>
      <c r="I175" s="126"/>
    </row>
    <row r="176" spans="1:15" ht="13.5" thickBot="1" x14ac:dyDescent="0.25">
      <c r="A176" s="718" t="s">
        <v>175</v>
      </c>
      <c r="B176" s="719"/>
      <c r="C176" s="127" t="s">
        <v>176</v>
      </c>
      <c r="D176" s="128">
        <f>'Non-personnel'!H62</f>
        <v>0</v>
      </c>
      <c r="E176" s="128">
        <f>'Non-personnel'!J62</f>
        <v>0</v>
      </c>
      <c r="F176" s="128">
        <f>'Non-personnel'!L62</f>
        <v>0</v>
      </c>
      <c r="G176" s="128">
        <f>'Non-personnel'!N62</f>
        <v>0</v>
      </c>
      <c r="H176" s="128">
        <f>'Non-personnel'!P62</f>
        <v>0</v>
      </c>
      <c r="I176" s="129">
        <f>SUM(D176:H176)</f>
        <v>0</v>
      </c>
    </row>
    <row r="177" spans="1:9" ht="13.5" thickTop="1" x14ac:dyDescent="0.2">
      <c r="A177" s="130"/>
      <c r="B177" s="131"/>
      <c r="C177" s="126"/>
      <c r="D177" s="126"/>
      <c r="E177" s="132"/>
      <c r="F177" s="126"/>
      <c r="G177" s="126"/>
      <c r="H177" s="126"/>
      <c r="I177" s="126"/>
    </row>
    <row r="178" spans="1:9" ht="13.5" thickBot="1" x14ac:dyDescent="0.25">
      <c r="A178" s="707" t="s">
        <v>177</v>
      </c>
      <c r="B178" s="708"/>
      <c r="C178" s="133"/>
      <c r="D178" s="109">
        <f>'Non-personnel'!H66</f>
        <v>0</v>
      </c>
      <c r="E178" s="109">
        <f>'Non-personnel'!J66</f>
        <v>0</v>
      </c>
      <c r="F178" s="109">
        <f>'Non-personnel'!L66</f>
        <v>0</v>
      </c>
      <c r="G178" s="109">
        <f>'Non-personnel'!N66</f>
        <v>0</v>
      </c>
      <c r="H178" s="109">
        <f>'Non-personnel'!P66</f>
        <v>0</v>
      </c>
      <c r="I178" s="79">
        <f>SUM(D178:H178)</f>
        <v>0</v>
      </c>
    </row>
    <row r="179" spans="1:9" ht="13.5" hidden="1" thickBot="1" x14ac:dyDescent="0.25">
      <c r="A179" s="720" t="s">
        <v>178</v>
      </c>
      <c r="B179" s="721"/>
      <c r="C179" s="134"/>
      <c r="D179" s="149">
        <v>0</v>
      </c>
      <c r="E179" s="149">
        <v>0</v>
      </c>
      <c r="F179" s="149">
        <v>0</v>
      </c>
      <c r="G179" s="149">
        <v>0</v>
      </c>
      <c r="H179" s="149">
        <v>0</v>
      </c>
      <c r="I179" s="149">
        <f>SUM(D179:H179)</f>
        <v>0</v>
      </c>
    </row>
    <row r="180" spans="1:9" ht="13.5" thickTop="1" x14ac:dyDescent="0.2">
      <c r="A180" s="148"/>
      <c r="B180" s="135"/>
      <c r="C180" s="126"/>
      <c r="D180" s="126"/>
      <c r="E180" s="126"/>
      <c r="F180" s="126"/>
      <c r="G180" s="126"/>
      <c r="H180" s="126"/>
      <c r="I180" s="126"/>
    </row>
    <row r="181" spans="1:9" ht="13.5" thickBot="1" x14ac:dyDescent="0.25">
      <c r="A181" s="722" t="s">
        <v>179</v>
      </c>
      <c r="B181" s="723"/>
      <c r="C181" s="136"/>
      <c r="D181" s="122">
        <f>D178</f>
        <v>0</v>
      </c>
      <c r="E181" s="122">
        <f>E178</f>
        <v>0</v>
      </c>
      <c r="F181" s="122">
        <f>F178</f>
        <v>0</v>
      </c>
      <c r="G181" s="122">
        <f>G178</f>
        <v>0</v>
      </c>
      <c r="H181" s="122">
        <f>H178</f>
        <v>0</v>
      </c>
      <c r="I181" s="123">
        <f>SUM(D181:H181)</f>
        <v>0</v>
      </c>
    </row>
    <row r="182" spans="1:9" ht="13.5" thickTop="1" x14ac:dyDescent="0.2">
      <c r="A182" s="137"/>
      <c r="B182" s="137"/>
      <c r="C182" s="137"/>
      <c r="D182" s="137"/>
      <c r="E182" s="137"/>
      <c r="F182" s="137"/>
      <c r="G182" s="137"/>
      <c r="H182" s="137"/>
      <c r="I182" s="137"/>
    </row>
    <row r="183" spans="1:9" ht="15.75" x14ac:dyDescent="0.25">
      <c r="A183" s="724" t="s">
        <v>180</v>
      </c>
      <c r="B183" s="724"/>
      <c r="C183" s="66" t="s">
        <v>119</v>
      </c>
      <c r="D183" s="67" t="s">
        <v>32</v>
      </c>
      <c r="E183" s="67" t="s">
        <v>33</v>
      </c>
      <c r="F183" s="67" t="s">
        <v>34</v>
      </c>
      <c r="G183" s="67" t="s">
        <v>35</v>
      </c>
      <c r="H183" s="67" t="s">
        <v>36</v>
      </c>
      <c r="I183" s="67" t="s">
        <v>37</v>
      </c>
    </row>
    <row r="184" spans="1:9" x14ac:dyDescent="0.2">
      <c r="A184" s="716" t="str">
        <f>IF(ISBLANK('Non-personnel'!B70),"",'Non-personnel'!B70)</f>
        <v/>
      </c>
      <c r="B184" s="138" t="s">
        <v>37</v>
      </c>
      <c r="C184" s="139"/>
      <c r="D184" s="152">
        <f>SUM('Non-personnel'!H70,'Non-personnel'!I70)</f>
        <v>0</v>
      </c>
      <c r="E184" s="152">
        <f>SUM('Non-personnel'!J70,'Non-personnel'!K70)</f>
        <v>0</v>
      </c>
      <c r="F184" s="152">
        <f>SUM('Non-personnel'!L70,'Non-personnel'!M70)</f>
        <v>0</v>
      </c>
      <c r="G184" s="152">
        <f>SUM('Non-personnel'!N70,'Non-personnel'!O70)</f>
        <v>0</v>
      </c>
      <c r="H184" s="152">
        <f>SUM('Non-personnel'!P70,'Non-personnel'!Q70)</f>
        <v>0</v>
      </c>
      <c r="I184" s="153">
        <f t="shared" ref="I184:I205" si="13">SUM(D184:H184)</f>
        <v>0</v>
      </c>
    </row>
    <row r="185" spans="1:9" x14ac:dyDescent="0.2">
      <c r="A185" s="717"/>
      <c r="B185" s="139" t="s">
        <v>181</v>
      </c>
      <c r="C185" s="138"/>
      <c r="D185" s="152">
        <f>'Non-personnel'!H71</f>
        <v>0</v>
      </c>
      <c r="E185" s="152">
        <f>'Non-personnel'!J71</f>
        <v>0</v>
      </c>
      <c r="F185" s="152">
        <f>'Non-personnel'!L71</f>
        <v>0</v>
      </c>
      <c r="G185" s="152">
        <f>'Non-personnel'!N71</f>
        <v>0</v>
      </c>
      <c r="H185" s="152">
        <f>'Non-personnel'!P71</f>
        <v>0</v>
      </c>
      <c r="I185" s="154">
        <f t="shared" si="13"/>
        <v>0</v>
      </c>
    </row>
    <row r="186" spans="1:9" x14ac:dyDescent="0.2">
      <c r="A186" s="716" t="str">
        <f>IF(ISBLANK('Non-personnel'!B72),"",'Non-personnel'!B72)</f>
        <v/>
      </c>
      <c r="B186" s="139" t="s">
        <v>37</v>
      </c>
      <c r="C186" s="138"/>
      <c r="D186" s="152">
        <f>SUM('Non-personnel'!H72,'Non-personnel'!I72)</f>
        <v>0</v>
      </c>
      <c r="E186" s="152">
        <f>SUM('Non-personnel'!J72,'Non-personnel'!K72)</f>
        <v>0</v>
      </c>
      <c r="F186" s="152">
        <f>SUM('Non-personnel'!L72,'Non-personnel'!M72)</f>
        <v>0</v>
      </c>
      <c r="G186" s="152">
        <f>SUM('Non-personnel'!N72,'Non-personnel'!O72)</f>
        <v>0</v>
      </c>
      <c r="H186" s="152">
        <f>SUM('Non-personnel'!P72,'Non-personnel'!Q72)</f>
        <v>0</v>
      </c>
      <c r="I186" s="154">
        <f t="shared" si="13"/>
        <v>0</v>
      </c>
    </row>
    <row r="187" spans="1:9" x14ac:dyDescent="0.2">
      <c r="A187" s="717"/>
      <c r="B187" s="139" t="s">
        <v>181</v>
      </c>
      <c r="C187" s="138"/>
      <c r="D187" s="152">
        <f>'Non-personnel'!H73</f>
        <v>0</v>
      </c>
      <c r="E187" s="152">
        <f>'Non-personnel'!J73</f>
        <v>0</v>
      </c>
      <c r="F187" s="152">
        <f>'Non-personnel'!L73</f>
        <v>0</v>
      </c>
      <c r="G187" s="152">
        <f>'Non-personnel'!N73</f>
        <v>0</v>
      </c>
      <c r="H187" s="152">
        <f>'Non-personnel'!P73</f>
        <v>0</v>
      </c>
      <c r="I187" s="154">
        <f t="shared" si="13"/>
        <v>0</v>
      </c>
    </row>
    <row r="188" spans="1:9" x14ac:dyDescent="0.2">
      <c r="A188" s="716" t="str">
        <f>IF(ISBLANK('Non-personnel'!B74),"",'Non-personnel'!B74)</f>
        <v/>
      </c>
      <c r="B188" s="140" t="s">
        <v>37</v>
      </c>
      <c r="C188" s="139"/>
      <c r="D188" s="152">
        <f>SUM('Non-personnel'!H74,'Non-personnel'!I74)</f>
        <v>0</v>
      </c>
      <c r="E188" s="152">
        <f>SUM('Non-personnel'!J74,'Non-personnel'!K74)</f>
        <v>0</v>
      </c>
      <c r="F188" s="152">
        <f>SUM('Non-personnel'!L74,'Non-personnel'!M74)</f>
        <v>0</v>
      </c>
      <c r="G188" s="152">
        <f>SUM('Non-personnel'!N74,'Non-personnel'!O74)</f>
        <v>0</v>
      </c>
      <c r="H188" s="152">
        <f>SUM('Non-personnel'!P74,'Non-personnel'!Q74)</f>
        <v>0</v>
      </c>
      <c r="I188" s="154">
        <f t="shared" si="13"/>
        <v>0</v>
      </c>
    </row>
    <row r="189" spans="1:9" x14ac:dyDescent="0.2">
      <c r="A189" s="717"/>
      <c r="B189" s="139" t="s">
        <v>181</v>
      </c>
      <c r="C189" s="138"/>
      <c r="D189" s="152">
        <f>'Non-personnel'!H75</f>
        <v>0</v>
      </c>
      <c r="E189" s="152">
        <f>'Non-personnel'!J75</f>
        <v>0</v>
      </c>
      <c r="F189" s="152">
        <f>'Non-personnel'!L75</f>
        <v>0</v>
      </c>
      <c r="G189" s="152">
        <f>'Non-personnel'!N75</f>
        <v>0</v>
      </c>
      <c r="H189" s="152">
        <f>'Non-personnel'!P75</f>
        <v>0</v>
      </c>
      <c r="I189" s="154">
        <f t="shared" si="13"/>
        <v>0</v>
      </c>
    </row>
    <row r="190" spans="1:9" x14ac:dyDescent="0.2">
      <c r="A190" s="716" t="str">
        <f>IF(ISBLANK('Non-personnel'!B76),"",'Non-personnel'!B76)</f>
        <v/>
      </c>
      <c r="B190" s="139" t="s">
        <v>37</v>
      </c>
      <c r="C190" s="138"/>
      <c r="D190" s="152">
        <f>SUM('Non-personnel'!H76,'Non-personnel'!I76)</f>
        <v>0</v>
      </c>
      <c r="E190" s="152">
        <f>SUM('Non-personnel'!J76,'Non-personnel'!K76)</f>
        <v>0</v>
      </c>
      <c r="F190" s="152">
        <f>SUM('Non-personnel'!L76,'Non-personnel'!M76)</f>
        <v>0</v>
      </c>
      <c r="G190" s="152">
        <f>SUM('Non-personnel'!N76,'Non-personnel'!O76)</f>
        <v>0</v>
      </c>
      <c r="H190" s="152">
        <f>SUM('Non-personnel'!P76,'Non-personnel'!Q76)</f>
        <v>0</v>
      </c>
      <c r="I190" s="154">
        <f t="shared" si="13"/>
        <v>0</v>
      </c>
    </row>
    <row r="191" spans="1:9" x14ac:dyDescent="0.2">
      <c r="A191" s="717"/>
      <c r="B191" s="139" t="s">
        <v>181</v>
      </c>
      <c r="C191" s="138"/>
      <c r="D191" s="152">
        <f>'Non-personnel'!H77</f>
        <v>0</v>
      </c>
      <c r="E191" s="152">
        <f>'Non-personnel'!J77</f>
        <v>0</v>
      </c>
      <c r="F191" s="152">
        <f>'Non-personnel'!L77</f>
        <v>0</v>
      </c>
      <c r="G191" s="152">
        <f>'Non-personnel'!N77</f>
        <v>0</v>
      </c>
      <c r="H191" s="152">
        <f>'Non-personnel'!P77</f>
        <v>0</v>
      </c>
      <c r="I191" s="154">
        <f t="shared" si="13"/>
        <v>0</v>
      </c>
    </row>
    <row r="192" spans="1:9" x14ac:dyDescent="0.2">
      <c r="A192" s="716" t="str">
        <f>IF(ISBLANK('Non-personnel'!B78),"",'Non-personnel'!B78)</f>
        <v/>
      </c>
      <c r="B192" s="139" t="s">
        <v>37</v>
      </c>
      <c r="C192" s="138"/>
      <c r="D192" s="152">
        <f>SUM('Non-personnel'!H78,'Non-personnel'!I78)</f>
        <v>0</v>
      </c>
      <c r="E192" s="152">
        <f>SUM('Non-personnel'!J78,'Non-personnel'!K78)</f>
        <v>0</v>
      </c>
      <c r="F192" s="152">
        <f>SUM('Non-personnel'!L78,'Non-personnel'!M78)</f>
        <v>0</v>
      </c>
      <c r="G192" s="152">
        <f>SUM('Non-personnel'!N78,'Non-personnel'!O78)</f>
        <v>0</v>
      </c>
      <c r="H192" s="152">
        <f>SUM('Non-personnel'!P78,'Non-personnel'!Q78)</f>
        <v>0</v>
      </c>
      <c r="I192" s="154">
        <f t="shared" si="13"/>
        <v>0</v>
      </c>
    </row>
    <row r="193" spans="1:9" x14ac:dyDescent="0.2">
      <c r="A193" s="717"/>
      <c r="B193" s="139" t="s">
        <v>181</v>
      </c>
      <c r="C193" s="141"/>
      <c r="D193" s="152">
        <f>'Non-personnel'!H79</f>
        <v>0</v>
      </c>
      <c r="E193" s="152">
        <f>'Non-personnel'!J79</f>
        <v>0</v>
      </c>
      <c r="F193" s="152">
        <f>'Non-personnel'!L79</f>
        <v>0</v>
      </c>
      <c r="G193" s="152">
        <f>'Non-personnel'!N79</f>
        <v>0</v>
      </c>
      <c r="H193" s="152">
        <f>'Non-personnel'!P79</f>
        <v>0</v>
      </c>
      <c r="I193" s="155">
        <f t="shared" si="13"/>
        <v>0</v>
      </c>
    </row>
    <row r="194" spans="1:9" x14ac:dyDescent="0.2">
      <c r="A194" s="716" t="str">
        <f>IF(ISBLANK('Non-personnel'!B80),"",'Non-personnel'!B80)</f>
        <v/>
      </c>
      <c r="B194" s="139" t="s">
        <v>37</v>
      </c>
      <c r="C194" s="141"/>
      <c r="D194" s="152">
        <f>SUM('Non-personnel'!H80,'Non-personnel'!I80)</f>
        <v>0</v>
      </c>
      <c r="E194" s="152">
        <f>SUM('Non-personnel'!J80,'Non-personnel'!K80)</f>
        <v>0</v>
      </c>
      <c r="F194" s="152">
        <f>SUM('Non-personnel'!L80,'Non-personnel'!M80)</f>
        <v>0</v>
      </c>
      <c r="G194" s="152">
        <f>SUM('Non-personnel'!N80,'Non-personnel'!O80)</f>
        <v>0</v>
      </c>
      <c r="H194" s="152">
        <f>SUM('Non-personnel'!P80,'Non-personnel'!Q80)</f>
        <v>0</v>
      </c>
      <c r="I194" s="155">
        <f t="shared" si="13"/>
        <v>0</v>
      </c>
    </row>
    <row r="195" spans="1:9" x14ac:dyDescent="0.2">
      <c r="A195" s="717"/>
      <c r="B195" s="139" t="s">
        <v>181</v>
      </c>
      <c r="C195" s="141"/>
      <c r="D195" s="152">
        <f>'Non-personnel'!H81</f>
        <v>0</v>
      </c>
      <c r="E195" s="152">
        <f>'Non-personnel'!J81</f>
        <v>0</v>
      </c>
      <c r="F195" s="152">
        <f>'Non-personnel'!L81</f>
        <v>0</v>
      </c>
      <c r="G195" s="152">
        <f>'Non-personnel'!N81</f>
        <v>0</v>
      </c>
      <c r="H195" s="152">
        <f>'Non-personnel'!P81</f>
        <v>0</v>
      </c>
      <c r="I195" s="155">
        <f t="shared" si="13"/>
        <v>0</v>
      </c>
    </row>
    <row r="196" spans="1:9" x14ac:dyDescent="0.2">
      <c r="A196" s="716" t="str">
        <f>IF(ISBLANK('Non-personnel'!B82),"",'Non-personnel'!B82)</f>
        <v/>
      </c>
      <c r="B196" s="139" t="s">
        <v>37</v>
      </c>
      <c r="C196" s="141"/>
      <c r="D196" s="152">
        <f>SUM('Non-personnel'!H82,'Non-personnel'!I82)</f>
        <v>0</v>
      </c>
      <c r="E196" s="152">
        <f>SUM('Non-personnel'!J82,'Non-personnel'!K82)</f>
        <v>0</v>
      </c>
      <c r="F196" s="152">
        <f>SUM('Non-personnel'!L82,'Non-personnel'!M82)</f>
        <v>0</v>
      </c>
      <c r="G196" s="152">
        <f>SUM('Non-personnel'!N82,'Non-personnel'!O82)</f>
        <v>0</v>
      </c>
      <c r="H196" s="152">
        <f>SUM('Non-personnel'!P82,'Non-personnel'!Q82)</f>
        <v>0</v>
      </c>
      <c r="I196" s="155">
        <f t="shared" si="13"/>
        <v>0</v>
      </c>
    </row>
    <row r="197" spans="1:9" x14ac:dyDescent="0.2">
      <c r="A197" s="717"/>
      <c r="B197" s="139" t="s">
        <v>181</v>
      </c>
      <c r="C197" s="141"/>
      <c r="D197" s="152">
        <f>'Non-personnel'!H83</f>
        <v>0</v>
      </c>
      <c r="E197" s="152">
        <f>'Non-personnel'!J83</f>
        <v>0</v>
      </c>
      <c r="F197" s="152">
        <f>'Non-personnel'!L83</f>
        <v>0</v>
      </c>
      <c r="G197" s="152">
        <f>'Non-personnel'!N83</f>
        <v>0</v>
      </c>
      <c r="H197" s="152">
        <f>'Non-personnel'!P83</f>
        <v>0</v>
      </c>
      <c r="I197" s="155">
        <f t="shared" si="13"/>
        <v>0</v>
      </c>
    </row>
    <row r="198" spans="1:9" x14ac:dyDescent="0.2">
      <c r="A198" s="716" t="str">
        <f>IF(ISBLANK('Non-personnel'!B84),"",'Non-personnel'!B84)</f>
        <v/>
      </c>
      <c r="B198" s="139" t="s">
        <v>37</v>
      </c>
      <c r="C198" s="141"/>
      <c r="D198" s="152">
        <f>SUM('Non-personnel'!H84,'Non-personnel'!I84)</f>
        <v>0</v>
      </c>
      <c r="E198" s="152">
        <f>SUM('Non-personnel'!J84,'Non-personnel'!K84)</f>
        <v>0</v>
      </c>
      <c r="F198" s="152">
        <f>SUM('Non-personnel'!L84,'Non-personnel'!M84)</f>
        <v>0</v>
      </c>
      <c r="G198" s="152">
        <f>SUM('Non-personnel'!N84,'Non-personnel'!O84)</f>
        <v>0</v>
      </c>
      <c r="H198" s="152">
        <f>SUM('Non-personnel'!P84,'Non-personnel'!Q84)</f>
        <v>0</v>
      </c>
      <c r="I198" s="155">
        <f t="shared" si="13"/>
        <v>0</v>
      </c>
    </row>
    <row r="199" spans="1:9" x14ac:dyDescent="0.2">
      <c r="A199" s="717"/>
      <c r="B199" s="139" t="s">
        <v>181</v>
      </c>
      <c r="C199" s="141"/>
      <c r="D199" s="152">
        <f>'Non-personnel'!H85</f>
        <v>0</v>
      </c>
      <c r="E199" s="152">
        <f>'Non-personnel'!J85</f>
        <v>0</v>
      </c>
      <c r="F199" s="152">
        <f>'Non-personnel'!L85</f>
        <v>0</v>
      </c>
      <c r="G199" s="152">
        <f>'Non-personnel'!N85</f>
        <v>0</v>
      </c>
      <c r="H199" s="152">
        <f>'Non-personnel'!P85</f>
        <v>0</v>
      </c>
      <c r="I199" s="155">
        <f t="shared" si="13"/>
        <v>0</v>
      </c>
    </row>
    <row r="200" spans="1:9" x14ac:dyDescent="0.2">
      <c r="A200" s="716" t="str">
        <f>IF(ISBLANK('Non-personnel'!B86),"",'Non-personnel'!B86)</f>
        <v/>
      </c>
      <c r="B200" s="139" t="s">
        <v>37</v>
      </c>
      <c r="C200" s="141"/>
      <c r="D200" s="152">
        <f>SUM('Non-personnel'!H86,'Non-personnel'!I86)</f>
        <v>0</v>
      </c>
      <c r="E200" s="152">
        <f>SUM('Non-personnel'!J86,'Non-personnel'!K86)</f>
        <v>0</v>
      </c>
      <c r="F200" s="152">
        <f>SUM('Non-personnel'!L86,'Non-personnel'!M86)</f>
        <v>0</v>
      </c>
      <c r="G200" s="152">
        <f>SUM('Non-personnel'!N86,'Non-personnel'!O86)</f>
        <v>0</v>
      </c>
      <c r="H200" s="152">
        <f>SUM('Non-personnel'!P86,'Non-personnel'!Q86)</f>
        <v>0</v>
      </c>
      <c r="I200" s="155">
        <f t="shared" si="13"/>
        <v>0</v>
      </c>
    </row>
    <row r="201" spans="1:9" x14ac:dyDescent="0.2">
      <c r="A201" s="717"/>
      <c r="B201" s="139" t="s">
        <v>181</v>
      </c>
      <c r="C201" s="141"/>
      <c r="D201" s="152">
        <f>'Non-personnel'!H87</f>
        <v>0</v>
      </c>
      <c r="E201" s="152">
        <f>'Non-personnel'!J87</f>
        <v>0</v>
      </c>
      <c r="F201" s="152">
        <f>'Non-personnel'!L87</f>
        <v>0</v>
      </c>
      <c r="G201" s="152">
        <f>'Non-personnel'!N87</f>
        <v>0</v>
      </c>
      <c r="H201" s="152">
        <f>'Non-personnel'!P87</f>
        <v>0</v>
      </c>
      <c r="I201" s="155">
        <f t="shared" si="13"/>
        <v>0</v>
      </c>
    </row>
    <row r="202" spans="1:9" x14ac:dyDescent="0.2">
      <c r="A202" s="716" t="str">
        <f>IF(ISBLANK('Non-personnel'!B88),"",'Non-personnel'!B88)</f>
        <v/>
      </c>
      <c r="B202" s="139" t="s">
        <v>37</v>
      </c>
      <c r="C202" s="141"/>
      <c r="D202" s="152">
        <f>SUM('Non-personnel'!H88,'Non-personnel'!I88)</f>
        <v>0</v>
      </c>
      <c r="E202" s="152">
        <f>SUM('Non-personnel'!J88,'Non-personnel'!K88)</f>
        <v>0</v>
      </c>
      <c r="F202" s="152">
        <f>SUM('Non-personnel'!L88,'Non-personnel'!M88)</f>
        <v>0</v>
      </c>
      <c r="G202" s="152">
        <f>SUM('Non-personnel'!N88,'Non-personnel'!O88)</f>
        <v>0</v>
      </c>
      <c r="H202" s="152">
        <f>SUM('Non-personnel'!P88,'Non-personnel'!Q88)</f>
        <v>0</v>
      </c>
      <c r="I202" s="155">
        <f t="shared" si="13"/>
        <v>0</v>
      </c>
    </row>
    <row r="203" spans="1:9" x14ac:dyDescent="0.2">
      <c r="A203" s="717"/>
      <c r="B203" s="139" t="s">
        <v>181</v>
      </c>
      <c r="C203" s="139"/>
      <c r="D203" s="152">
        <f>'Non-personnel'!H89</f>
        <v>0</v>
      </c>
      <c r="E203" s="152">
        <f>'Non-personnel'!J89</f>
        <v>0</v>
      </c>
      <c r="F203" s="152">
        <f>'Non-personnel'!L89</f>
        <v>0</v>
      </c>
      <c r="G203" s="152">
        <f>'Non-personnel'!N89</f>
        <v>0</v>
      </c>
      <c r="H203" s="152">
        <f>'Non-personnel'!P89</f>
        <v>0</v>
      </c>
      <c r="I203" s="153">
        <f t="shared" si="13"/>
        <v>0</v>
      </c>
    </row>
    <row r="204" spans="1:9" x14ac:dyDescent="0.2">
      <c r="A204" s="758" t="s">
        <v>37</v>
      </c>
      <c r="B204" s="713"/>
      <c r="C204" s="111"/>
      <c r="D204" s="156">
        <f t="shared" ref="D204:H205" si="14">SUM(D184,D186,D188,D190,D192,D194,D196,D198,D200,D202)</f>
        <v>0</v>
      </c>
      <c r="E204" s="156">
        <f t="shared" si="14"/>
        <v>0</v>
      </c>
      <c r="F204" s="156">
        <f t="shared" si="14"/>
        <v>0</v>
      </c>
      <c r="G204" s="156">
        <f t="shared" si="14"/>
        <v>0</v>
      </c>
      <c r="H204" s="156">
        <f t="shared" si="14"/>
        <v>0</v>
      </c>
      <c r="I204" s="157">
        <f t="shared" si="13"/>
        <v>0</v>
      </c>
    </row>
    <row r="205" spans="1:9" ht="13.5" thickBot="1" x14ac:dyDescent="0.25">
      <c r="A205" s="754" t="s">
        <v>182</v>
      </c>
      <c r="B205" s="708"/>
      <c r="C205" s="104"/>
      <c r="D205" s="158">
        <f t="shared" si="14"/>
        <v>0</v>
      </c>
      <c r="E205" s="158">
        <f t="shared" si="14"/>
        <v>0</v>
      </c>
      <c r="F205" s="158">
        <f t="shared" si="14"/>
        <v>0</v>
      </c>
      <c r="G205" s="158">
        <f t="shared" si="14"/>
        <v>0</v>
      </c>
      <c r="H205" s="158">
        <f t="shared" si="14"/>
        <v>0</v>
      </c>
      <c r="I205" s="159">
        <f t="shared" si="13"/>
        <v>0</v>
      </c>
    </row>
    <row r="206" spans="1:9" ht="13.5" thickTop="1" x14ac:dyDescent="0.2"/>
    <row r="207" spans="1:9" x14ac:dyDescent="0.2">
      <c r="A207" s="759" t="s">
        <v>235</v>
      </c>
      <c r="B207" s="759"/>
      <c r="C207" s="64"/>
      <c r="D207" s="64"/>
      <c r="E207" s="64"/>
      <c r="F207" s="64"/>
      <c r="G207" s="64"/>
      <c r="H207" s="64"/>
      <c r="I207" s="64"/>
    </row>
    <row r="208" spans="1:9" x14ac:dyDescent="0.2">
      <c r="A208" s="246" t="str">
        <f>CONCATENATE('Personnel Yr 1'!B20, IF(OR(ISBLANK('Personnel Yr 1'!B20),'Personnel Yr 1'!B20=""),""," "),'Personnel Yr 1'!C20, " ",'Personnel Yr 1'!D20,IF(OR(ISBLANK('Personnel Yr 1'!D20),'Personnel Yr 1'!D20=""),""," "),'Personnel Yr 1'!E20," ",'Personnel Yr 1'!F20)</f>
        <v xml:space="preserve">  </v>
      </c>
      <c r="B208" s="264" t="s">
        <v>386</v>
      </c>
      <c r="C208" s="66" t="s">
        <v>119</v>
      </c>
      <c r="D208" s="67" t="s">
        <v>32</v>
      </c>
      <c r="E208" s="67" t="s">
        <v>33</v>
      </c>
      <c r="F208" s="67" t="s">
        <v>34</v>
      </c>
      <c r="G208" s="67" t="s">
        <v>35</v>
      </c>
      <c r="H208" s="67" t="s">
        <v>36</v>
      </c>
      <c r="I208" s="67" t="s">
        <v>37</v>
      </c>
    </row>
    <row r="209" spans="1:9" x14ac:dyDescent="0.2">
      <c r="A209" s="244" t="s">
        <v>65</v>
      </c>
      <c r="B209" s="265">
        <f>(D209/17)*D272</f>
        <v>0</v>
      </c>
      <c r="C209" s="68"/>
      <c r="D209" s="69">
        <f>ROUND(('Personnel Yr 1'!T20),0)</f>
        <v>0</v>
      </c>
      <c r="E209" s="69">
        <f>IF(OR(ISBLANK('Personnel Yr 2'!S20),'Personnel Yr 2'!S20=""),0,ROUND(('Personnel Yr 2'!S20),0))</f>
        <v>0</v>
      </c>
      <c r="F209" s="69">
        <f>IF(OR(ISBLANK('Personnel Yr 3'!S20),'Personnel Yr 3'!S20=""),0,ROUND(('Personnel Yr 3'!S20),0))</f>
        <v>0</v>
      </c>
      <c r="G209" s="69">
        <f>IF(OR(ISBLANK('Personnel Yr 4'!S20),'Personnel Yr 4'!S20=""),0,ROUND(('Personnel Yr 4'!S20),0))</f>
        <v>0</v>
      </c>
      <c r="H209" s="69">
        <f>IF(OR(ISBLANK('Personnel Yr 5'!S20),'Personnel Yr 5'!S20=""),0,ROUND(('Personnel Yr 5'!S20),0))</f>
        <v>0</v>
      </c>
      <c r="I209" s="69">
        <f>SUM(D209:H209)</f>
        <v>0</v>
      </c>
    </row>
    <row r="210" spans="1:9" x14ac:dyDescent="0.2">
      <c r="A210" s="244" t="s">
        <v>120</v>
      </c>
      <c r="B210" s="265">
        <f>(D210/17)*D275</f>
        <v>0</v>
      </c>
      <c r="C210" s="68"/>
      <c r="D210" s="69">
        <f>ROUND(('Personnel Yr 1'!S20),0)</f>
        <v>0</v>
      </c>
      <c r="E210" s="69">
        <f>IF(OR(ISBLANK('Personnel Yr 2'!R20),'Personnel Yr 2'!R20=""),0,ROUND(('Personnel Yr 2'!R20),0))</f>
        <v>0</v>
      </c>
      <c r="F210" s="69">
        <f>IF(OR(ISBLANK('Personnel Yr 3'!R20),'Personnel Yr 3'!R20=""),0,ROUND(('Personnel Yr 3'!R20),0))</f>
        <v>0</v>
      </c>
      <c r="G210" s="69">
        <f>IF(OR(ISBLANK('Personnel Yr 4'!R20),'Personnel Yr 4'!R20=""),0,ROUND(('Personnel Yr 4'!R20),0))</f>
        <v>0</v>
      </c>
      <c r="H210" s="69">
        <f>IF(OR(ISBLANK('Personnel Yr 5'!R20),'Personnel Yr 5'!R20=""),0,ROUND(('Personnel Yr 5'!R20),0))</f>
        <v>0</v>
      </c>
      <c r="I210" s="69">
        <f>SUM(D210:H210)</f>
        <v>0</v>
      </c>
    </row>
    <row r="211" spans="1:9" x14ac:dyDescent="0.2">
      <c r="A211" s="244" t="s">
        <v>121</v>
      </c>
      <c r="B211" s="263"/>
      <c r="C211" s="68"/>
      <c r="D211" s="69">
        <f>ROUND(('Personnel Yr 1'!R20),0)</f>
        <v>0</v>
      </c>
      <c r="E211" s="69">
        <f>IF(OR(ISBLANK('Personnel Yr 2'!Q20),'Personnel Yr 2'!Q20=""),0,ROUND(('Personnel Yr 2'!Q20),0))</f>
        <v>0</v>
      </c>
      <c r="F211" s="69">
        <f>IF(OR(ISBLANK('Personnel Yr 3'!Q20),'Personnel Yr 3'!Q20=""),0,ROUND(('Personnel Yr 3'!Q20),0))</f>
        <v>0</v>
      </c>
      <c r="G211" s="69">
        <f>IF(OR(ISBLANK('Personnel Yr 4'!Q20),'Personnel Yr 4'!Q20=""),0,ROUND(('Personnel Yr 4'!Q20),0))</f>
        <v>0</v>
      </c>
      <c r="H211" s="69">
        <f>IF(OR(ISBLANK('Personnel Yr 5'!Q20),'Personnel Yr 5'!Q20=""),0,ROUND(('Personnel Yr 5'!Q20),0))</f>
        <v>0</v>
      </c>
      <c r="I211" s="69">
        <f>SUM(D211:H211)</f>
        <v>0</v>
      </c>
    </row>
    <row r="212" spans="1:9" x14ac:dyDescent="0.2">
      <c r="A212" s="727" t="str">
        <f>CONCATENATE('Personnel Yr 1'!B21, IF(OR(ISBLANK('Personnel Yr 1'!B21),'Personnel Yr 1'!B21=""),""," "),'Personnel Yr 1'!C21, " ",'Personnel Yr 1'!D21,IF(OR(ISBLANK('Personnel Yr 1'!D21),'Personnel Yr 1'!D21=""),""," "),'Personnel Yr 1'!E21," ",'Personnel Yr 1'!F21)</f>
        <v xml:space="preserve">  </v>
      </c>
      <c r="B212" s="728"/>
      <c r="C212" s="70"/>
      <c r="D212" s="70"/>
      <c r="E212" s="71"/>
      <c r="F212" s="71"/>
      <c r="G212" s="71"/>
      <c r="H212" s="71"/>
      <c r="I212" s="72"/>
    </row>
    <row r="213" spans="1:9" x14ac:dyDescent="0.2">
      <c r="A213" s="244" t="s">
        <v>65</v>
      </c>
      <c r="B213" s="265">
        <f>(D213/17)*D279</f>
        <v>0</v>
      </c>
      <c r="C213" s="68"/>
      <c r="D213" s="69">
        <f>ROUND(('Personnel Yr 1'!T21),0)</f>
        <v>0</v>
      </c>
      <c r="E213" s="69">
        <f>IF(OR(ISBLANK('Personnel Yr 2'!S21),'Personnel Yr 2'!S21=""),0,ROUND(('Personnel Yr 2'!S21),0))</f>
        <v>0</v>
      </c>
      <c r="F213" s="69">
        <f>IF(OR(ISBLANK('Personnel Yr 3'!S21),'Personnel Yr 3'!S21=""),0,ROUND(('Personnel Yr 3'!S21),0))</f>
        <v>0</v>
      </c>
      <c r="G213" s="69">
        <f>IF(OR(ISBLANK('Personnel Yr 4'!S21),'Personnel Yr 4'!S21=""),0,ROUND(('Personnel Yr 4'!S21),0))</f>
        <v>0</v>
      </c>
      <c r="H213" s="69">
        <f>IF(OR(ISBLANK('Personnel Yr 5'!S21),'Personnel Yr 5'!S21=""),0,ROUND(('Personnel Yr 5'!S21),0))</f>
        <v>0</v>
      </c>
      <c r="I213" s="69">
        <f>SUM(D213:H213)</f>
        <v>0</v>
      </c>
    </row>
    <row r="214" spans="1:9" x14ac:dyDescent="0.2">
      <c r="A214" s="244" t="s">
        <v>120</v>
      </c>
      <c r="B214" s="265">
        <f>(D214/17)*D282</f>
        <v>0</v>
      </c>
      <c r="C214" s="68"/>
      <c r="D214" s="69">
        <f>ROUND(('Personnel Yr 1'!S21),0)</f>
        <v>0</v>
      </c>
      <c r="E214" s="69">
        <f>IF(OR(ISBLANK('Personnel Yr 2'!R21),'Personnel Yr 2'!R21=""),0,ROUND(('Personnel Yr 2'!R21),0))</f>
        <v>0</v>
      </c>
      <c r="F214" s="69">
        <f>IF(OR(ISBLANK('Personnel Yr 3'!R21),'Personnel Yr 3'!R21=""),0,ROUND(('Personnel Yr 3'!R21),0))</f>
        <v>0</v>
      </c>
      <c r="G214" s="69">
        <f>IF(OR(ISBLANK('Personnel Yr 4'!R21),'Personnel Yr 4'!R21=""),0,ROUND(('Personnel Yr 4'!R21),0))</f>
        <v>0</v>
      </c>
      <c r="H214" s="69">
        <f>IF(OR(ISBLANK('Personnel Yr 5'!R21),'Personnel Yr 5'!R21=""),0,ROUND(('Personnel Yr 5'!R21),0))</f>
        <v>0</v>
      </c>
      <c r="I214" s="69">
        <f>SUM(D214:H214)</f>
        <v>0</v>
      </c>
    </row>
    <row r="215" spans="1:9" x14ac:dyDescent="0.2">
      <c r="A215" s="244" t="s">
        <v>121</v>
      </c>
      <c r="B215" s="263"/>
      <c r="C215" s="68"/>
      <c r="D215" s="69">
        <f>ROUND(('Personnel Yr 1'!R21),0)</f>
        <v>0</v>
      </c>
      <c r="E215" s="69">
        <f>IF(OR(ISBLANK('Personnel Yr 2'!Q21),'Personnel Yr 2'!Q21=""),0,ROUND(('Personnel Yr 2'!Q21),0))</f>
        <v>0</v>
      </c>
      <c r="F215" s="69">
        <f>IF(OR(ISBLANK('Personnel Yr 3'!Q21),'Personnel Yr 3'!Q21=""),0,ROUND(('Personnel Yr 3'!Q21),0))</f>
        <v>0</v>
      </c>
      <c r="G215" s="69">
        <f>IF(OR(ISBLANK('Personnel Yr 4'!Q21),'Personnel Yr 4'!Q21=""),0,ROUND(('Personnel Yr 4'!Q21),0))</f>
        <v>0</v>
      </c>
      <c r="H215" s="69">
        <f>IF(OR(ISBLANK('Personnel Yr 5'!Q21),'Personnel Yr 5'!Q21=""),0,ROUND(('Personnel Yr 5'!Q21),0))</f>
        <v>0</v>
      </c>
      <c r="I215" s="69">
        <f>SUM(D215:H215)</f>
        <v>0</v>
      </c>
    </row>
    <row r="216" spans="1:9" x14ac:dyDescent="0.2">
      <c r="A216" s="727" t="str">
        <f>CONCATENATE('Personnel Yr 1'!B22, IF(OR(ISBLANK('Personnel Yr 1'!B22),'Personnel Yr 1'!B22=""),""," "),'Personnel Yr 1'!C22, " ",'Personnel Yr 1'!D22,IF(OR(ISBLANK('Personnel Yr 1'!D22),'Personnel Yr 1'!D22=""),""," "),'Personnel Yr 1'!E22," ",'Personnel Yr 1'!F22)</f>
        <v xml:space="preserve">  </v>
      </c>
      <c r="B216" s="728"/>
      <c r="C216" s="70"/>
      <c r="D216" s="70"/>
      <c r="E216" s="71"/>
      <c r="F216" s="71"/>
      <c r="G216" s="71"/>
      <c r="H216" s="71"/>
      <c r="I216" s="72"/>
    </row>
    <row r="217" spans="1:9" x14ac:dyDescent="0.2">
      <c r="A217" s="244" t="s">
        <v>65</v>
      </c>
      <c r="B217" s="265">
        <f>(D217/17)*D286</f>
        <v>0</v>
      </c>
      <c r="C217" s="68"/>
      <c r="D217" s="69">
        <f>ROUND(('Personnel Yr 1'!T22),0)</f>
        <v>0</v>
      </c>
      <c r="E217" s="69">
        <f>IF(OR(ISBLANK('Personnel Yr 2'!S22),'Personnel Yr 2'!S22=""),0,ROUND(('Personnel Yr 2'!S22),0))</f>
        <v>0</v>
      </c>
      <c r="F217" s="69">
        <f>IF(OR(ISBLANK('Personnel Yr 3'!S22),'Personnel Yr 3'!S22=""),0,ROUND(('Personnel Yr 3'!S22),0))</f>
        <v>0</v>
      </c>
      <c r="G217" s="69">
        <f>IF(OR(ISBLANK('Personnel Yr 4'!S22),'Personnel Yr 4'!S22=""),0,ROUND(('Personnel Yr 4'!S22),0))</f>
        <v>0</v>
      </c>
      <c r="H217" s="69">
        <f>IF(OR(ISBLANK('Personnel Yr 5'!S22),'Personnel Yr 5'!S22=""),0,ROUND(('Personnel Yr 5'!S22),0))</f>
        <v>0</v>
      </c>
      <c r="I217" s="69">
        <f>SUM(D217:H217)</f>
        <v>0</v>
      </c>
    </row>
    <row r="218" spans="1:9" x14ac:dyDescent="0.2">
      <c r="A218" s="244" t="s">
        <v>120</v>
      </c>
      <c r="B218" s="265">
        <f>(D218/17)*D289</f>
        <v>0</v>
      </c>
      <c r="C218" s="68"/>
      <c r="D218" s="69">
        <f>ROUND(('Personnel Yr 1'!S22),0)</f>
        <v>0</v>
      </c>
      <c r="E218" s="69">
        <f>IF(OR(ISBLANK('Personnel Yr 2'!R22),'Personnel Yr 2'!R22=""),0,ROUND(('Personnel Yr 2'!R22),0))</f>
        <v>0</v>
      </c>
      <c r="F218" s="69">
        <f>IF(OR(ISBLANK('Personnel Yr 3'!R22),'Personnel Yr 3'!R22=""),0,ROUND(('Personnel Yr 3'!R22),0))</f>
        <v>0</v>
      </c>
      <c r="G218" s="69">
        <f>IF(OR(ISBLANK('Personnel Yr 4'!R22),'Personnel Yr 4'!R22=""),0,ROUND(('Personnel Yr 4'!R22),0))</f>
        <v>0</v>
      </c>
      <c r="H218" s="69">
        <f>IF(OR(ISBLANK('Personnel Yr 5'!R22),'Personnel Yr 5'!R22=""),0,ROUND(('Personnel Yr 5'!R22),0))</f>
        <v>0</v>
      </c>
      <c r="I218" s="69">
        <f>SUM(D218:H218)</f>
        <v>0</v>
      </c>
    </row>
    <row r="219" spans="1:9" x14ac:dyDescent="0.2">
      <c r="A219" s="244" t="s">
        <v>121</v>
      </c>
      <c r="B219" s="263"/>
      <c r="C219" s="68"/>
      <c r="D219" s="69">
        <f>ROUND(('Personnel Yr 1'!R22),0)</f>
        <v>0</v>
      </c>
      <c r="E219" s="69">
        <f>IF(OR(ISBLANK('Personnel Yr 2'!Q22),'Personnel Yr 2'!Q22=""),0,ROUND(('Personnel Yr 2'!Q22),0))</f>
        <v>0</v>
      </c>
      <c r="F219" s="69">
        <f>IF(OR(ISBLANK('Personnel Yr 3'!Q22),'Personnel Yr 3'!Q22=""),0,ROUND(('Personnel Yr 3'!Q22),0))</f>
        <v>0</v>
      </c>
      <c r="G219" s="69">
        <f>IF(OR(ISBLANK('Personnel Yr 4'!Q22),'Personnel Yr 4'!Q22=""),0,ROUND(('Personnel Yr 4'!Q22),0))</f>
        <v>0</v>
      </c>
      <c r="H219" s="69">
        <f>IF(OR(ISBLANK('Personnel Yr 5'!Q22),'Personnel Yr 5'!Q22=""),0,ROUND(('Personnel Yr 5'!Q22),0))</f>
        <v>0</v>
      </c>
      <c r="I219" s="69">
        <f>SUM(D219:H219)</f>
        <v>0</v>
      </c>
    </row>
    <row r="220" spans="1:9" x14ac:dyDescent="0.2">
      <c r="A220" s="727" t="str">
        <f>CONCATENATE('Personnel Yr 1'!B23, IF(OR(ISBLANK('Personnel Yr 1'!B23),'Personnel Yr 1'!B23=""),""," "),'Personnel Yr 1'!C23, " ",'Personnel Yr 1'!D23,IF(OR(ISBLANK('Personnel Yr 1'!D23),'Personnel Yr 1'!D23=""),""," "),'Personnel Yr 1'!E23," ",'Personnel Yr 1'!F23)</f>
        <v xml:space="preserve">  </v>
      </c>
      <c r="B220" s="728"/>
      <c r="C220" s="70"/>
      <c r="D220" s="70"/>
      <c r="E220" s="71"/>
      <c r="F220" s="71"/>
      <c r="G220" s="71"/>
      <c r="H220" s="71"/>
      <c r="I220" s="72"/>
    </row>
    <row r="221" spans="1:9" x14ac:dyDescent="0.2">
      <c r="A221" s="244" t="s">
        <v>65</v>
      </c>
      <c r="B221" s="265">
        <f>(D221/17)*D293</f>
        <v>0</v>
      </c>
      <c r="C221" s="68"/>
      <c r="D221" s="69">
        <f>ROUND(('Personnel Yr 1'!T23),0)</f>
        <v>0</v>
      </c>
      <c r="E221" s="69">
        <f>IF(OR(ISBLANK('Personnel Yr 2'!S23),'Personnel Yr 2'!S23=""),0,ROUND(('Personnel Yr 2'!S23),0))</f>
        <v>0</v>
      </c>
      <c r="F221" s="69">
        <f>IF(OR(ISBLANK('Personnel Yr 3'!S23),'Personnel Yr 3'!S23=""),0,ROUND(('Personnel Yr 3'!S23),0))</f>
        <v>0</v>
      </c>
      <c r="G221" s="69">
        <f>IF(OR(ISBLANK('Personnel Yr 4'!S23),'Personnel Yr 4'!S23=""),0,ROUND(('Personnel Yr 4'!S23),0))</f>
        <v>0</v>
      </c>
      <c r="H221" s="69">
        <f>IF(OR(ISBLANK('Personnel Yr 5'!S23),'Personnel Yr 5'!S23=""),0,ROUND(('Personnel Yr 5'!S23),0))</f>
        <v>0</v>
      </c>
      <c r="I221" s="69">
        <f>SUM(D221:H221)</f>
        <v>0</v>
      </c>
    </row>
    <row r="222" spans="1:9" x14ac:dyDescent="0.2">
      <c r="A222" s="244" t="s">
        <v>120</v>
      </c>
      <c r="B222" s="265">
        <f>(D222/17)*D296</f>
        <v>0</v>
      </c>
      <c r="C222" s="68"/>
      <c r="D222" s="69">
        <f>ROUND(('Personnel Yr 1'!S23),0)</f>
        <v>0</v>
      </c>
      <c r="E222" s="69">
        <f>IF(OR(ISBLANK('Personnel Yr 2'!R23),'Personnel Yr 2'!R23=""),0,ROUND(('Personnel Yr 2'!R23),0))</f>
        <v>0</v>
      </c>
      <c r="F222" s="69">
        <f>IF(OR(ISBLANK('Personnel Yr 3'!R23),'Personnel Yr 3'!R23=""),0,ROUND(('Personnel Yr 3'!R23),0))</f>
        <v>0</v>
      </c>
      <c r="G222" s="69">
        <f>IF(OR(ISBLANK('Personnel Yr 4'!R23),'Personnel Yr 4'!R23=""),0,ROUND(('Personnel Yr 4'!R23),0))</f>
        <v>0</v>
      </c>
      <c r="H222" s="69">
        <f>IF(OR(ISBLANK('Personnel Yr 5'!R23),'Personnel Yr 5'!R23=""),0,ROUND(('Personnel Yr 5'!R23),0))</f>
        <v>0</v>
      </c>
      <c r="I222" s="69">
        <f>SUM(D222:H222)</f>
        <v>0</v>
      </c>
    </row>
    <row r="223" spans="1:9" x14ac:dyDescent="0.2">
      <c r="A223" s="244" t="s">
        <v>121</v>
      </c>
      <c r="B223" s="263"/>
      <c r="C223" s="68"/>
      <c r="D223" s="69">
        <f>ROUND(('Personnel Yr 1'!R23),0)</f>
        <v>0</v>
      </c>
      <c r="E223" s="69">
        <f>IF(OR(ISBLANK('Personnel Yr 2'!Q23),'Personnel Yr 2'!Q23=""),0,ROUND(('Personnel Yr 2'!Q23),0))</f>
        <v>0</v>
      </c>
      <c r="F223" s="69">
        <f>IF(OR(ISBLANK('Personnel Yr 3'!Q23),'Personnel Yr 3'!Q23=""),0,ROUND(('Personnel Yr 3'!Q23),0))</f>
        <v>0</v>
      </c>
      <c r="G223" s="69">
        <f>IF(OR(ISBLANK('Personnel Yr 4'!Q23),'Personnel Yr 4'!Q23=""),0,ROUND(('Personnel Yr 4'!Q23),0))</f>
        <v>0</v>
      </c>
      <c r="H223" s="69">
        <f>IF(OR(ISBLANK('Personnel Yr 5'!Q23),'Personnel Yr 5'!Q23=""),0,ROUND(('Personnel Yr 5'!Q23),0))</f>
        <v>0</v>
      </c>
      <c r="I223" s="69">
        <f>SUM(D223:H223)</f>
        <v>0</v>
      </c>
    </row>
    <row r="224" spans="1:9" x14ac:dyDescent="0.2">
      <c r="A224" s="727" t="str">
        <f>CONCATENATE('Personnel Yr 1'!B24, IF(OR(ISBLANK('Personnel Yr 1'!B24),'Personnel Yr 1'!B24=""),""," "),'Personnel Yr 1'!C24, " ",'Personnel Yr 1'!D24,IF(OR(ISBLANK('Personnel Yr 1'!D24),'Personnel Yr 1'!D24=""),""," "),'Personnel Yr 1'!E24," ",'Personnel Yr 1'!F24)</f>
        <v xml:space="preserve">  </v>
      </c>
      <c r="B224" s="728"/>
      <c r="C224" s="70"/>
      <c r="D224" s="70"/>
      <c r="E224" s="71"/>
      <c r="F224" s="71"/>
      <c r="G224" s="71"/>
      <c r="H224" s="71"/>
      <c r="I224" s="72"/>
    </row>
    <row r="225" spans="1:9" x14ac:dyDescent="0.2">
      <c r="A225" s="244" t="s">
        <v>65</v>
      </c>
      <c r="B225" s="265">
        <f>(D225/17)*D300</f>
        <v>0</v>
      </c>
      <c r="C225" s="68"/>
      <c r="D225" s="69">
        <f>ROUND(('Personnel Yr 1'!T24),0)</f>
        <v>0</v>
      </c>
      <c r="E225" s="69">
        <f>IF(OR(ISBLANK('Personnel Yr 2'!S24),'Personnel Yr 2'!S24=""),0,ROUND(('Personnel Yr 2'!S24),0))</f>
        <v>0</v>
      </c>
      <c r="F225" s="69">
        <f>IF(OR(ISBLANK('Personnel Yr 3'!S24),'Personnel Yr 3'!S24=""),0,ROUND(('Personnel Yr 3'!S24),0))</f>
        <v>0</v>
      </c>
      <c r="G225" s="69">
        <f>IF(OR(ISBLANK('Personnel Yr 4'!S24),'Personnel Yr 4'!S24=""),0,ROUND(('Personnel Yr 4'!S24),0))</f>
        <v>0</v>
      </c>
      <c r="H225" s="69">
        <f>IF(OR(ISBLANK('Personnel Yr 5'!S24),'Personnel Yr 5'!S24=""),0,ROUND(('Personnel Yr 5'!S24),0))</f>
        <v>0</v>
      </c>
      <c r="I225" s="69">
        <f>SUM(D225:H225)</f>
        <v>0</v>
      </c>
    </row>
    <row r="226" spans="1:9" x14ac:dyDescent="0.2">
      <c r="A226" s="244" t="s">
        <v>120</v>
      </c>
      <c r="B226" s="265">
        <f>(D226/17)*D303</f>
        <v>0</v>
      </c>
      <c r="C226" s="68"/>
      <c r="D226" s="69">
        <f>ROUND(('Personnel Yr 1'!S24),0)</f>
        <v>0</v>
      </c>
      <c r="E226" s="69">
        <f>IF(OR(ISBLANK('Personnel Yr 2'!R24),'Personnel Yr 2'!R24=""),0,ROUND(('Personnel Yr 2'!R24),0))</f>
        <v>0</v>
      </c>
      <c r="F226" s="69">
        <f>IF(OR(ISBLANK('Personnel Yr 3'!R24),'Personnel Yr 3'!R24=""),0,ROUND(('Personnel Yr 3'!R24),0))</f>
        <v>0</v>
      </c>
      <c r="G226" s="69">
        <f>IF(OR(ISBLANK('Personnel Yr 4'!R24),'Personnel Yr 4'!R24=""),0,ROUND(('Personnel Yr 4'!R24),0))</f>
        <v>0</v>
      </c>
      <c r="H226" s="69">
        <f>IF(OR(ISBLANK('Personnel Yr 5'!R24),'Personnel Yr 5'!R24=""),0,ROUND(('Personnel Yr 5'!R24),0))</f>
        <v>0</v>
      </c>
      <c r="I226" s="69">
        <f>SUM(D226:H226)</f>
        <v>0</v>
      </c>
    </row>
    <row r="227" spans="1:9" x14ac:dyDescent="0.2">
      <c r="A227" s="244" t="s">
        <v>121</v>
      </c>
      <c r="B227" s="263"/>
      <c r="C227" s="68"/>
      <c r="D227" s="69">
        <f>ROUND(('Personnel Yr 1'!R24),0)</f>
        <v>0</v>
      </c>
      <c r="E227" s="69">
        <f>IF(OR(ISBLANK('Personnel Yr 2'!Q24),'Personnel Yr 2'!Q24=""),0,ROUND(('Personnel Yr 2'!Q24),0))</f>
        <v>0</v>
      </c>
      <c r="F227" s="69">
        <f>IF(OR(ISBLANK('Personnel Yr 3'!Q24),'Personnel Yr 3'!Q24=""),0,ROUND(('Personnel Yr 3'!Q24),0))</f>
        <v>0</v>
      </c>
      <c r="G227" s="69">
        <f>IF(OR(ISBLANK('Personnel Yr 4'!Q24),'Personnel Yr 4'!Q24=""),0,ROUND(('Personnel Yr 4'!Q24),0))</f>
        <v>0</v>
      </c>
      <c r="H227" s="69">
        <f>IF(OR(ISBLANK('Personnel Yr 5'!Q24),'Personnel Yr 5'!Q24=""),0,ROUND(('Personnel Yr 5'!Q24),0))</f>
        <v>0</v>
      </c>
      <c r="I227" s="69">
        <f>SUM(D227:H227)</f>
        <v>0</v>
      </c>
    </row>
    <row r="228" spans="1:9" x14ac:dyDescent="0.2">
      <c r="A228" s="727" t="str">
        <f>CONCATENATE('Personnel Yr 1'!B25, IF(OR(ISBLANK('Personnel Yr 1'!B25),'Personnel Yr 1'!B25=""),""," "),'Personnel Yr 1'!C25, " ",'Personnel Yr 1'!D25,IF(OR(ISBLANK('Personnel Yr 1'!D25),'Personnel Yr 1'!D25=""),""," "),'Personnel Yr 1'!E25," ",'Personnel Yr 1'!F25)</f>
        <v xml:space="preserve">  </v>
      </c>
      <c r="B228" s="728"/>
      <c r="C228" s="63"/>
      <c r="D228" s="65"/>
      <c r="E228" s="73"/>
      <c r="F228" s="73"/>
      <c r="G228" s="73"/>
      <c r="H228" s="73"/>
      <c r="I228" s="74"/>
    </row>
    <row r="229" spans="1:9" x14ac:dyDescent="0.2">
      <c r="A229" s="244" t="s">
        <v>65</v>
      </c>
      <c r="B229" s="265">
        <f>(D229/17)*D307</f>
        <v>0</v>
      </c>
      <c r="C229" s="68"/>
      <c r="D229" s="69">
        <f>ROUND(('Personnel Yr 1'!T25),0)</f>
        <v>0</v>
      </c>
      <c r="E229" s="69">
        <f>IF(OR(ISBLANK('Personnel Yr 2'!S25),'Personnel Yr 2'!S25=""),0,ROUND(('Personnel Yr 2'!S25),0))</f>
        <v>0</v>
      </c>
      <c r="F229" s="69">
        <f>IF(OR(ISBLANK('Personnel Yr 3'!S25),'Personnel Yr 3'!S25=""),0,ROUND(('Personnel Yr 3'!S25),0))</f>
        <v>0</v>
      </c>
      <c r="G229" s="69">
        <f>IF(OR(ISBLANK('Personnel Yr 4'!S25),'Personnel Yr 4'!S25=""),0,ROUND(('Personnel Yr 4'!S25),0))</f>
        <v>0</v>
      </c>
      <c r="H229" s="69">
        <f>IF(OR(ISBLANK('Personnel Yr 5'!S25),'Personnel Yr 5'!S25=""),0,ROUND(('Personnel Yr 5'!S25),0))</f>
        <v>0</v>
      </c>
      <c r="I229" s="69">
        <f>SUM(D229:H229)</f>
        <v>0</v>
      </c>
    </row>
    <row r="230" spans="1:9" x14ac:dyDescent="0.2">
      <c r="A230" s="244" t="s">
        <v>120</v>
      </c>
      <c r="B230" s="265">
        <f>(D230/17)*D310</f>
        <v>0</v>
      </c>
      <c r="C230" s="68"/>
      <c r="D230" s="69">
        <f>ROUND(('Personnel Yr 1'!S25),0)</f>
        <v>0</v>
      </c>
      <c r="E230" s="69">
        <f>IF(OR(ISBLANK('Personnel Yr 2'!R25),'Personnel Yr 2'!R25=""),0,ROUND(('Personnel Yr 2'!R25),0))</f>
        <v>0</v>
      </c>
      <c r="F230" s="69">
        <f>IF(OR(ISBLANK('Personnel Yr 3'!R25),'Personnel Yr 3'!R25=""),0,ROUND(('Personnel Yr 3'!R25),0))</f>
        <v>0</v>
      </c>
      <c r="G230" s="69">
        <f>IF(OR(ISBLANK('Personnel Yr 4'!R25),'Personnel Yr 4'!R25=""),0,ROUND(('Personnel Yr 4'!R25),0))</f>
        <v>0</v>
      </c>
      <c r="H230" s="69">
        <f>IF(OR(ISBLANK('Personnel Yr 5'!R25),'Personnel Yr 5'!R25=""),0,ROUND(('Personnel Yr 5'!R25),0))</f>
        <v>0</v>
      </c>
      <c r="I230" s="69">
        <f>SUM(D230:H230)</f>
        <v>0</v>
      </c>
    </row>
    <row r="231" spans="1:9" x14ac:dyDescent="0.2">
      <c r="A231" s="244" t="s">
        <v>121</v>
      </c>
      <c r="B231" s="263"/>
      <c r="C231" s="68"/>
      <c r="D231" s="69">
        <f>ROUND(('Personnel Yr 1'!R25),0)</f>
        <v>0</v>
      </c>
      <c r="E231" s="69">
        <f>IF(OR(ISBLANK('Personnel Yr 2'!Q25),'Personnel Yr 2'!Q25=""),0,ROUND(('Personnel Yr 2'!Q25),0))</f>
        <v>0</v>
      </c>
      <c r="F231" s="69">
        <f>IF(OR(ISBLANK('Personnel Yr 3'!Q25),'Personnel Yr 3'!Q25=""),0,ROUND(('Personnel Yr 3'!Q25),0))</f>
        <v>0</v>
      </c>
      <c r="G231" s="69">
        <f>IF(OR(ISBLANK('Personnel Yr 4'!Q25),'Personnel Yr 4'!Q25=""),0,ROUND(('Personnel Yr 4'!Q25),0))</f>
        <v>0</v>
      </c>
      <c r="H231" s="69">
        <f>IF(OR(ISBLANK('Personnel Yr 5'!Q25),'Personnel Yr 5'!Q25=""),0,ROUND(('Personnel Yr 5'!Q25),0))</f>
        <v>0</v>
      </c>
      <c r="I231" s="69">
        <f>SUM(D231:H231)</f>
        <v>0</v>
      </c>
    </row>
    <row r="232" spans="1:9" x14ac:dyDescent="0.2">
      <c r="A232" s="727" t="str">
        <f>CONCATENATE('Personnel Yr 1'!B26, IF(OR(ISBLANK('Personnel Yr 1'!B26),'Personnel Yr 1'!B26=""),""," "),'Personnel Yr 1'!C26, " ",'Personnel Yr 1'!D26,IF(OR(ISBLANK('Personnel Yr 1'!D26),'Personnel Yr 1'!D26=""),""," "),'Personnel Yr 1'!E26," ",'Personnel Yr 1'!F26)</f>
        <v xml:space="preserve">  </v>
      </c>
      <c r="B232" s="728"/>
      <c r="C232" s="63"/>
      <c r="D232" s="70"/>
      <c r="E232" s="71"/>
      <c r="F232" s="71"/>
      <c r="G232" s="71"/>
      <c r="H232" s="71"/>
      <c r="I232" s="72"/>
    </row>
    <row r="233" spans="1:9" x14ac:dyDescent="0.2">
      <c r="A233" s="244" t="s">
        <v>65</v>
      </c>
      <c r="B233" s="265">
        <f>(D233/17)*D314</f>
        <v>0</v>
      </c>
      <c r="C233" s="68"/>
      <c r="D233" s="69">
        <f>ROUND(('Personnel Yr 1'!T26),0)</f>
        <v>0</v>
      </c>
      <c r="E233" s="69">
        <f>IF(OR(ISBLANK('Personnel Yr 2'!S26),'Personnel Yr 2'!S26=""),0,ROUND(('Personnel Yr 2'!S26),0))</f>
        <v>0</v>
      </c>
      <c r="F233" s="69">
        <f>IF(OR(ISBLANK('Personnel Yr 3'!S26),'Personnel Yr 3'!S26=""),0,ROUND(('Personnel Yr 3'!S26),0))</f>
        <v>0</v>
      </c>
      <c r="G233" s="69">
        <f>IF(OR(ISBLANK('Personnel Yr 4'!S26),'Personnel Yr 4'!S26=""),0,ROUND(('Personnel Yr 4'!S26),0))</f>
        <v>0</v>
      </c>
      <c r="H233" s="69">
        <f>IF(OR(ISBLANK('Personnel Yr 5'!S26),'Personnel Yr 5'!S26=""),0,ROUND(('Personnel Yr 5'!S26),0))</f>
        <v>0</v>
      </c>
      <c r="I233" s="69">
        <f>SUM(D233:H233)</f>
        <v>0</v>
      </c>
    </row>
    <row r="234" spans="1:9" x14ac:dyDescent="0.2">
      <c r="A234" s="244" t="s">
        <v>120</v>
      </c>
      <c r="B234" s="265">
        <f>(D234/17)*D317</f>
        <v>0</v>
      </c>
      <c r="C234" s="68"/>
      <c r="D234" s="69">
        <f>ROUND(('Personnel Yr 1'!S26),0)</f>
        <v>0</v>
      </c>
      <c r="E234" s="69">
        <f>IF(OR(ISBLANK('Personnel Yr 2'!R26),'Personnel Yr 2'!R26=""),0,ROUND(('Personnel Yr 2'!R26),0))</f>
        <v>0</v>
      </c>
      <c r="F234" s="69">
        <f>IF(OR(ISBLANK('Personnel Yr 3'!R26),'Personnel Yr 3'!R26=""),0,ROUND(('Personnel Yr 3'!R26),0))</f>
        <v>0</v>
      </c>
      <c r="G234" s="69">
        <f>IF(OR(ISBLANK('Personnel Yr 4'!R26),'Personnel Yr 4'!R26=""),0,ROUND(('Personnel Yr 4'!R26),0))</f>
        <v>0</v>
      </c>
      <c r="H234" s="69">
        <f>IF(OR(ISBLANK('Personnel Yr 5'!R26),'Personnel Yr 5'!R26=""),0,ROUND(('Personnel Yr 5'!R26),0))</f>
        <v>0</v>
      </c>
      <c r="I234" s="69">
        <f>SUM(D234:H234)</f>
        <v>0</v>
      </c>
    </row>
    <row r="235" spans="1:9" x14ac:dyDescent="0.2">
      <c r="A235" s="244" t="s">
        <v>121</v>
      </c>
      <c r="B235" s="263"/>
      <c r="C235" s="68"/>
      <c r="D235" s="69">
        <f>ROUND(('Personnel Yr 1'!R26),0)</f>
        <v>0</v>
      </c>
      <c r="E235" s="69">
        <f>IF(OR(ISBLANK('Personnel Yr 2'!Q26),'Personnel Yr 2'!Q26=""),0,ROUND(('Personnel Yr 2'!Q26),0))</f>
        <v>0</v>
      </c>
      <c r="F235" s="69">
        <f>IF(OR(ISBLANK('Personnel Yr 3'!Q26),'Personnel Yr 3'!Q26=""),0,ROUND(('Personnel Yr 3'!Q26),0))</f>
        <v>0</v>
      </c>
      <c r="G235" s="69">
        <f>IF(OR(ISBLANK('Personnel Yr 4'!Q26),'Personnel Yr 4'!Q26=""),0,ROUND(('Personnel Yr 4'!Q26),0))</f>
        <v>0</v>
      </c>
      <c r="H235" s="69">
        <f>IF(OR(ISBLANK('Personnel Yr 5'!Q26),'Personnel Yr 5'!Q26=""),0,ROUND(('Personnel Yr 5'!Q26),0))</f>
        <v>0</v>
      </c>
      <c r="I235" s="69">
        <f>SUM(D235:H235)</f>
        <v>0</v>
      </c>
    </row>
    <row r="236" spans="1:9" x14ac:dyDescent="0.2">
      <c r="A236" s="727" t="str">
        <f>CONCATENATE('Personnel Yr 1'!B27, IF(OR(ISBLANK('Personnel Yr 1'!B27),'Personnel Yr 1'!B27=""),""," "),'Personnel Yr 1'!C27, " ",'Personnel Yr 1'!D27,IF(OR(ISBLANK('Personnel Yr 1'!D27),'Personnel Yr 1'!D27=""),""," "),'Personnel Yr 1'!E27," ",'Personnel Yr 1'!F27)</f>
        <v xml:space="preserve">  </v>
      </c>
      <c r="B236" s="728"/>
      <c r="C236" s="63"/>
      <c r="D236" s="70"/>
      <c r="E236" s="71"/>
      <c r="F236" s="71"/>
      <c r="G236" s="71"/>
      <c r="H236" s="71"/>
      <c r="I236" s="72"/>
    </row>
    <row r="237" spans="1:9" x14ac:dyDescent="0.2">
      <c r="A237" s="244" t="s">
        <v>65</v>
      </c>
      <c r="B237" s="265">
        <f>(D237/17)*D321</f>
        <v>0</v>
      </c>
      <c r="C237" s="68"/>
      <c r="D237" s="69">
        <f>ROUND(('Personnel Yr 1'!T27),0)</f>
        <v>0</v>
      </c>
      <c r="E237" s="69">
        <f>IF(OR(ISBLANK('Personnel Yr 2'!S27),'Personnel Yr 2'!S27=""),0,ROUND(('Personnel Yr 2'!S27),0))</f>
        <v>0</v>
      </c>
      <c r="F237" s="69">
        <f>IF(OR(ISBLANK('Personnel Yr 3'!S27),'Personnel Yr 3'!S27=""),0,ROUND(('Personnel Yr 3'!S27),0))</f>
        <v>0</v>
      </c>
      <c r="G237" s="69">
        <f>IF(OR(ISBLANK('Personnel Yr 4'!S27),'Personnel Yr 4'!S27=""),0,ROUND(('Personnel Yr 4'!S27),0))</f>
        <v>0</v>
      </c>
      <c r="H237" s="69">
        <f>IF(OR(ISBLANK('Personnel Yr 5'!S27),'Personnel Yr 5'!S27=""),0,ROUND(('Personnel Yr 5'!S27),0))</f>
        <v>0</v>
      </c>
      <c r="I237" s="69">
        <f>SUM(D237:H237)</f>
        <v>0</v>
      </c>
    </row>
    <row r="238" spans="1:9" x14ac:dyDescent="0.2">
      <c r="A238" s="244" t="s">
        <v>120</v>
      </c>
      <c r="B238" s="265">
        <f>(D238/17)*D324</f>
        <v>0</v>
      </c>
      <c r="C238" s="68"/>
      <c r="D238" s="69">
        <f>ROUND(('Personnel Yr 1'!S27),0)</f>
        <v>0</v>
      </c>
      <c r="E238" s="69">
        <f>IF(OR(ISBLANK('Personnel Yr 2'!R27),'Personnel Yr 2'!R27=""),0,ROUND(('Personnel Yr 2'!R27),0))</f>
        <v>0</v>
      </c>
      <c r="F238" s="69">
        <f>IF(OR(ISBLANK('Personnel Yr 3'!R27),'Personnel Yr 3'!R27=""),0,ROUND(('Personnel Yr 3'!R27),0))</f>
        <v>0</v>
      </c>
      <c r="G238" s="69">
        <f>IF(OR(ISBLANK('Personnel Yr 4'!R27),'Personnel Yr 4'!R27=""),0,ROUND(('Personnel Yr 4'!R27),0))</f>
        <v>0</v>
      </c>
      <c r="H238" s="69">
        <f>IF(OR(ISBLANK('Personnel Yr 5'!R27),'Personnel Yr 5'!R27=""),0,ROUND(('Personnel Yr 5'!R27),0))</f>
        <v>0</v>
      </c>
      <c r="I238" s="69">
        <f>SUM(D238:H238)</f>
        <v>0</v>
      </c>
    </row>
    <row r="239" spans="1:9" x14ac:dyDescent="0.2">
      <c r="A239" s="244" t="s">
        <v>121</v>
      </c>
      <c r="B239" s="263"/>
      <c r="C239" s="215"/>
      <c r="D239" s="150">
        <f>ROUND(('Personnel Yr 1'!R27),0)</f>
        <v>0</v>
      </c>
      <c r="E239" s="150">
        <f>IF(OR(ISBLANK('Personnel Yr 2'!Q27),'Personnel Yr 2'!Q27=""),0,ROUND(('Personnel Yr 2'!Q27),0))</f>
        <v>0</v>
      </c>
      <c r="F239" s="150">
        <f>IF(OR(ISBLANK('Personnel Yr 3'!Q27),'Personnel Yr 3'!Q27=""),0,ROUND(('Personnel Yr 3'!Q27),0))</f>
        <v>0</v>
      </c>
      <c r="G239" s="150">
        <f>IF(OR(ISBLANK('Personnel Yr 4'!Q27),'Personnel Yr 4'!Q27=""),0,ROUND(('Personnel Yr 4'!Q27),0))</f>
        <v>0</v>
      </c>
      <c r="H239" s="150">
        <f>IF(OR(ISBLANK('Personnel Yr 5'!Q27),'Personnel Yr 5'!Q27=""),0,ROUND(('Personnel Yr 5'!Q27),0))</f>
        <v>0</v>
      </c>
      <c r="I239" s="150">
        <f>SUM(D239:H239)</f>
        <v>0</v>
      </c>
    </row>
    <row r="240" spans="1:9" x14ac:dyDescent="0.2">
      <c r="A240" s="727" t="str">
        <f>CONCATENATE('Personnel Yr 1'!B28, IF(OR(ISBLANK('Personnel Yr 1'!B28),'Personnel Yr 1'!B28=""),""," "),'Personnel Yr 1'!C28, " ",'Personnel Yr 1'!D28,IF(OR(ISBLANK('Personnel Yr 1'!D28),'Personnel Yr 1'!D28=""),""," "),'Personnel Yr 1'!E28," ",'Personnel Yr 1'!F28)</f>
        <v xml:space="preserve">  </v>
      </c>
      <c r="B240" s="728"/>
      <c r="C240" s="216"/>
      <c r="D240" s="216"/>
      <c r="E240" s="217"/>
      <c r="F240" s="217"/>
      <c r="G240" s="217"/>
      <c r="H240" s="217"/>
      <c r="I240" s="218"/>
    </row>
    <row r="241" spans="1:9" x14ac:dyDescent="0.2">
      <c r="A241" s="244" t="s">
        <v>65</v>
      </c>
      <c r="B241" s="265">
        <f>(D241/17)*D329</f>
        <v>0</v>
      </c>
      <c r="C241" s="68"/>
      <c r="D241" s="69">
        <f>ROUND(('Personnel Yr 1'!T28),0)</f>
        <v>0</v>
      </c>
      <c r="E241" s="69">
        <f>IF(OR(ISBLANK('Personnel Yr 2'!S28),'Personnel Yr 2'!S28=""),0,ROUND(('Personnel Yr 2'!S28),0))</f>
        <v>0</v>
      </c>
      <c r="F241" s="69">
        <f>IF(OR(ISBLANK('Personnel Yr 3'!S28),'Personnel Yr 3'!S28=""),0,ROUND(('Personnel Yr 3'!S28),0))</f>
        <v>0</v>
      </c>
      <c r="G241" s="69">
        <f>IF(OR(ISBLANK('Personnel Yr 4'!S28),'Personnel Yr 4'!S28=""),0,ROUND(('Personnel Yr 4'!S28),0))</f>
        <v>0</v>
      </c>
      <c r="H241" s="69">
        <f>IF(OR(ISBLANK('Personnel Yr 5'!S28),'Personnel Yr 5'!S28=""),0,ROUND(('Personnel Yr 5'!S28),0))</f>
        <v>0</v>
      </c>
      <c r="I241" s="69">
        <f>SUM(D241:H241)</f>
        <v>0</v>
      </c>
    </row>
    <row r="242" spans="1:9" x14ac:dyDescent="0.2">
      <c r="A242" s="244" t="s">
        <v>120</v>
      </c>
      <c r="B242" s="265">
        <f>(D242/17)*D332</f>
        <v>0</v>
      </c>
      <c r="C242" s="68"/>
      <c r="D242" s="69">
        <f>ROUND(('Personnel Yr 1'!S28),0)</f>
        <v>0</v>
      </c>
      <c r="E242" s="69">
        <f>IF(OR(ISBLANK('Personnel Yr 2'!R28),'Personnel Yr 2'!R28=""),0,ROUND(('Personnel Yr 2'!R28),0))</f>
        <v>0</v>
      </c>
      <c r="F242" s="69">
        <f>IF(OR(ISBLANK('Personnel Yr 3'!R28),'Personnel Yr 3'!R28=""),0,ROUND(('Personnel Yr 3'!R28),0))</f>
        <v>0</v>
      </c>
      <c r="G242" s="69">
        <f>IF(OR(ISBLANK('Personnel Yr 4'!R28),'Personnel Yr 4'!R28=""),0,ROUND(('Personnel Yr 4'!R28),0))</f>
        <v>0</v>
      </c>
      <c r="H242" s="69">
        <f>IF(OR(ISBLANK('Personnel Yr 5'!R28),'Personnel Yr 5'!R28=""),0,ROUND(('Personnel Yr 5'!R28),0))</f>
        <v>0</v>
      </c>
      <c r="I242" s="69">
        <f>SUM(D242:H242)</f>
        <v>0</v>
      </c>
    </row>
    <row r="243" spans="1:9" x14ac:dyDescent="0.2">
      <c r="A243" s="244" t="s">
        <v>121</v>
      </c>
      <c r="B243" s="263"/>
      <c r="C243" s="68"/>
      <c r="D243" s="69">
        <f>ROUND(('Personnel Yr 1'!R28),0)</f>
        <v>0</v>
      </c>
      <c r="E243" s="69">
        <f>IF(OR(ISBLANK('Personnel Yr 2'!Q28),'Personnel Yr 2'!Q28=""),0,ROUND(('Personnel Yr 2'!Q28),0))</f>
        <v>0</v>
      </c>
      <c r="F243" s="69">
        <f>IF(OR(ISBLANK('Personnel Yr 3'!Q28),'Personnel Yr 3'!Q28=""),0,ROUND(('Personnel Yr 3'!Q28),0))</f>
        <v>0</v>
      </c>
      <c r="G243" s="69">
        <f>IF(OR(ISBLANK('Personnel Yr 4'!Q28),'Personnel Yr 4'!Q28=""),0,ROUND(('Personnel Yr 4'!Q28),0))</f>
        <v>0</v>
      </c>
      <c r="H243" s="69">
        <f>IF(OR(ISBLANK('Personnel Yr 5'!Q28),'Personnel Yr 5'!Q28=""),0,ROUND(('Personnel Yr 5'!Q28),0))</f>
        <v>0</v>
      </c>
      <c r="I243" s="69">
        <f>SUM(D243:H243)</f>
        <v>0</v>
      </c>
    </row>
    <row r="244" spans="1:9" x14ac:dyDescent="0.2">
      <c r="A244" s="727" t="str">
        <f>CONCATENATE('Personnel Yr 1'!B29, IF(OR(ISBLANK('Personnel Yr 1'!B29),'Personnel Yr 1'!B29=""),""," "),'Personnel Yr 1'!C29, " ",'Personnel Yr 1'!D29,IF(OR(ISBLANK('Personnel Yr 1'!D29),'Personnel Yr 1'!D29=""),""," "),'Personnel Yr 1'!E29," ",'Personnel Yr 1'!F29)</f>
        <v xml:space="preserve">  </v>
      </c>
      <c r="B244" s="728"/>
      <c r="C244" s="70"/>
      <c r="D244" s="70"/>
      <c r="E244" s="71"/>
      <c r="F244" s="71"/>
      <c r="G244" s="71"/>
      <c r="H244" s="71"/>
      <c r="I244" s="72"/>
    </row>
    <row r="245" spans="1:9" x14ac:dyDescent="0.2">
      <c r="A245" s="244" t="s">
        <v>65</v>
      </c>
      <c r="B245" s="265">
        <f>(D245/17)*D336</f>
        <v>0</v>
      </c>
      <c r="C245" s="68"/>
      <c r="D245" s="69">
        <f>ROUND(('Personnel Yr 1'!T29),0)</f>
        <v>0</v>
      </c>
      <c r="E245" s="69">
        <f>IF(OR(ISBLANK('Personnel Yr 2'!S29),'Personnel Yr 2'!S29=""),0,ROUND(('Personnel Yr 2'!S29),0))</f>
        <v>0</v>
      </c>
      <c r="F245" s="69">
        <f>IF(OR(ISBLANK('Personnel Yr 3'!S29),'Personnel Yr 3'!S29=""),0,ROUND(('Personnel Yr 3'!S29),0))</f>
        <v>0</v>
      </c>
      <c r="G245" s="69">
        <f>IF(OR(ISBLANK('Personnel Yr 4'!S29),'Personnel Yr 4'!S29=""),0,ROUND(('Personnel Yr 4'!S29),0))</f>
        <v>0</v>
      </c>
      <c r="H245" s="69">
        <f>IF(OR(ISBLANK('Personnel Yr 5'!S29),'Personnel Yr 5'!S29=""),0,ROUND(('Personnel Yr 5'!S29),0))</f>
        <v>0</v>
      </c>
      <c r="I245" s="69">
        <f>SUM(D245:H245)</f>
        <v>0</v>
      </c>
    </row>
    <row r="246" spans="1:9" x14ac:dyDescent="0.2">
      <c r="A246" s="244" t="s">
        <v>120</v>
      </c>
      <c r="B246" s="265">
        <f>(D246/17)*D339</f>
        <v>0</v>
      </c>
      <c r="C246" s="68"/>
      <c r="D246" s="69">
        <f>ROUND(('Personnel Yr 1'!S29),0)</f>
        <v>0</v>
      </c>
      <c r="E246" s="69">
        <f>IF(OR(ISBLANK('Personnel Yr 2'!R29),'Personnel Yr 2'!R29=""),0,ROUND(('Personnel Yr 2'!R29),0))</f>
        <v>0</v>
      </c>
      <c r="F246" s="69">
        <f>IF(OR(ISBLANK('Personnel Yr 3'!R29),'Personnel Yr 3'!R29=""),0,ROUND(('Personnel Yr 3'!R29),0))</f>
        <v>0</v>
      </c>
      <c r="G246" s="69">
        <f>IF(OR(ISBLANK('Personnel Yr 4'!R29),'Personnel Yr 4'!R29=""),0,ROUND(('Personnel Yr 4'!R29),0))</f>
        <v>0</v>
      </c>
      <c r="H246" s="69">
        <f>IF(OR(ISBLANK('Personnel Yr 5'!R29),'Personnel Yr 5'!R29=""),0,ROUND(('Personnel Yr 5'!R29),0))</f>
        <v>0</v>
      </c>
      <c r="I246" s="69">
        <f>SUM(D246:H246)</f>
        <v>0</v>
      </c>
    </row>
    <row r="247" spans="1:9" x14ac:dyDescent="0.2">
      <c r="A247" s="244" t="s">
        <v>121</v>
      </c>
      <c r="B247" s="263"/>
      <c r="C247" s="68"/>
      <c r="D247" s="69">
        <f>ROUND(('Personnel Yr 1'!R29),0)</f>
        <v>0</v>
      </c>
      <c r="E247" s="69">
        <f>IF(OR(ISBLANK('Personnel Yr 2'!Q29),'Personnel Yr 2'!Q29=""),0,ROUND(('Personnel Yr 2'!Q29),0))</f>
        <v>0</v>
      </c>
      <c r="F247" s="69">
        <f>IF(OR(ISBLANK('Personnel Yr 3'!Q29),'Personnel Yr 3'!Q29=""),0,ROUND(('Personnel Yr 3'!Q29),0))</f>
        <v>0</v>
      </c>
      <c r="G247" s="69">
        <f>IF(OR(ISBLANK('Personnel Yr 4'!Q29),'Personnel Yr 4'!Q29=""),0,ROUND(('Personnel Yr 4'!Q29),0))</f>
        <v>0</v>
      </c>
      <c r="H247" s="69">
        <f>IF(OR(ISBLANK('Personnel Yr 5'!Q29),'Personnel Yr 5'!Q29=""),0,ROUND(('Personnel Yr 5'!Q29),0))</f>
        <v>0</v>
      </c>
      <c r="I247" s="69">
        <f>SUM(D247:H247)</f>
        <v>0</v>
      </c>
    </row>
    <row r="248" spans="1:9" x14ac:dyDescent="0.2">
      <c r="A248" s="727" t="str">
        <f>CONCATENATE('Personnel Yr 1'!B30, IF(OR(ISBLANK('Personnel Yr 1'!B30),'Personnel Yr 1'!B30=""),""," "),'Personnel Yr 1'!C30, " ",'Personnel Yr 1'!D30,IF(OR(ISBLANK('Personnel Yr 1'!D30),'Personnel Yr 1'!D30=""),""," "),'Personnel Yr 1'!E30," ",'Personnel Yr 1'!F30)</f>
        <v xml:space="preserve">  </v>
      </c>
      <c r="B248" s="728"/>
      <c r="C248" s="70"/>
      <c r="D248" s="70"/>
      <c r="E248" s="71"/>
      <c r="F248" s="71"/>
      <c r="G248" s="71"/>
      <c r="H248" s="71"/>
      <c r="I248" s="72"/>
    </row>
    <row r="249" spans="1:9" x14ac:dyDescent="0.2">
      <c r="A249" s="244" t="s">
        <v>65</v>
      </c>
      <c r="B249" s="265">
        <f>(D249/17)*D343</f>
        <v>0</v>
      </c>
      <c r="C249" s="68"/>
      <c r="D249" s="69">
        <f>ROUND(('Personnel Yr 1'!T30),0)</f>
        <v>0</v>
      </c>
      <c r="E249" s="69">
        <f>IF(OR(ISBLANK('Personnel Yr 2'!S30),'Personnel Yr 2'!S30=""),0,ROUND(('Personnel Yr 2'!S30),0))</f>
        <v>0</v>
      </c>
      <c r="F249" s="69">
        <f>IF(OR(ISBLANK('Personnel Yr 3'!S30),'Personnel Yr 3'!S30=""),0,ROUND(('Personnel Yr 3'!S30),0))</f>
        <v>0</v>
      </c>
      <c r="G249" s="69">
        <f>IF(OR(ISBLANK('Personnel Yr 4'!S30),'Personnel Yr 4'!S30=""),0,ROUND(('Personnel Yr 4'!S30),0))</f>
        <v>0</v>
      </c>
      <c r="H249" s="69">
        <f>IF(OR(ISBLANK('Personnel Yr 5'!S30),'Personnel Yr 5'!S30=""),0,ROUND(('Personnel Yr 5'!S30),0))</f>
        <v>0</v>
      </c>
      <c r="I249" s="69">
        <f>SUM(D249:H249)</f>
        <v>0</v>
      </c>
    </row>
    <row r="250" spans="1:9" x14ac:dyDescent="0.2">
      <c r="A250" s="244" t="s">
        <v>120</v>
      </c>
      <c r="B250" s="265">
        <f>(D250/17)*D346</f>
        <v>0</v>
      </c>
      <c r="C250" s="68"/>
      <c r="D250" s="69">
        <f>ROUND(('Personnel Yr 1'!S30),0)</f>
        <v>0</v>
      </c>
      <c r="E250" s="69">
        <f>IF(OR(ISBLANK('Personnel Yr 2'!R30),'Personnel Yr 2'!R30=""),0,ROUND(('Personnel Yr 2'!R30),0))</f>
        <v>0</v>
      </c>
      <c r="F250" s="69">
        <f>IF(OR(ISBLANK('Personnel Yr 3'!R30),'Personnel Yr 3'!R30=""),0,ROUND(('Personnel Yr 3'!R30),0))</f>
        <v>0</v>
      </c>
      <c r="G250" s="69">
        <f>IF(OR(ISBLANK('Personnel Yr 4'!R30),'Personnel Yr 4'!R30=""),0,ROUND(('Personnel Yr 4'!R30),0))</f>
        <v>0</v>
      </c>
      <c r="H250" s="69">
        <f>IF(OR(ISBLANK('Personnel Yr 5'!R30),'Personnel Yr 5'!R30=""),0,ROUND(('Personnel Yr 5'!R30),0))</f>
        <v>0</v>
      </c>
      <c r="I250" s="69">
        <f>SUM(D250:H250)</f>
        <v>0</v>
      </c>
    </row>
    <row r="251" spans="1:9" x14ac:dyDescent="0.2">
      <c r="A251" s="244" t="s">
        <v>121</v>
      </c>
      <c r="B251" s="263"/>
      <c r="C251" s="68"/>
      <c r="D251" s="69">
        <f>ROUND(('Personnel Yr 1'!R30),0)</f>
        <v>0</v>
      </c>
      <c r="E251" s="69">
        <f>IF(OR(ISBLANK('Personnel Yr 2'!Q30),'Personnel Yr 2'!Q30=""),0,ROUND(('Personnel Yr 2'!Q30),0))</f>
        <v>0</v>
      </c>
      <c r="F251" s="69">
        <f>IF(OR(ISBLANK('Personnel Yr 3'!Q30),'Personnel Yr 3'!Q30=""),0,ROUND(('Personnel Yr 3'!Q30),0))</f>
        <v>0</v>
      </c>
      <c r="G251" s="69">
        <f>IF(OR(ISBLANK('Personnel Yr 4'!Q30),'Personnel Yr 4'!Q30=""),0,ROUND(('Personnel Yr 4'!Q30),0))</f>
        <v>0</v>
      </c>
      <c r="H251" s="69">
        <f>IF(OR(ISBLANK('Personnel Yr 5'!Q30),'Personnel Yr 5'!Q30=""),0,ROUND(('Personnel Yr 5'!Q30),0))</f>
        <v>0</v>
      </c>
      <c r="I251" s="69">
        <f>SUM(D251:H251)</f>
        <v>0</v>
      </c>
    </row>
    <row r="252" spans="1:9" x14ac:dyDescent="0.2">
      <c r="A252" s="727" t="str">
        <f>CONCATENATE('Personnel Yr 1'!B31, IF(OR(ISBLANK('Personnel Yr 1'!B31),'Personnel Yr 1'!B31=""),""," "),'Personnel Yr 1'!C31, " ",'Personnel Yr 1'!D31,IF(OR(ISBLANK('Personnel Yr 1'!D31),'Personnel Yr 1'!D31=""),""," "),'Personnel Yr 1'!E31," ",'Personnel Yr 1'!F31)</f>
        <v xml:space="preserve">  </v>
      </c>
      <c r="B252" s="728"/>
      <c r="C252" s="70"/>
      <c r="D252" s="70"/>
      <c r="E252" s="71"/>
      <c r="F252" s="71"/>
      <c r="G252" s="71"/>
      <c r="H252" s="71"/>
      <c r="I252" s="72"/>
    </row>
    <row r="253" spans="1:9" x14ac:dyDescent="0.2">
      <c r="A253" s="244" t="s">
        <v>65</v>
      </c>
      <c r="B253" s="265">
        <f>(D253/17)*D350</f>
        <v>0</v>
      </c>
      <c r="C253" s="68"/>
      <c r="D253" s="69">
        <f>ROUND(('Personnel Yr 1'!T31),0)</f>
        <v>0</v>
      </c>
      <c r="E253" s="69">
        <f>IF(OR(ISBLANK('Personnel Yr 2'!S31),'Personnel Yr 2'!S31=""),0,ROUND(('Personnel Yr 2'!S31),0))</f>
        <v>0</v>
      </c>
      <c r="F253" s="69">
        <f>IF(OR(ISBLANK('Personnel Yr 3'!S31),'Personnel Yr 3'!S31=""),0,ROUND(('Personnel Yr 3'!S31),0))</f>
        <v>0</v>
      </c>
      <c r="G253" s="69">
        <f>IF(OR(ISBLANK('Personnel Yr 4'!S31),'Personnel Yr 4'!S31=""),0,ROUND(('Personnel Yr 4'!S31),0))</f>
        <v>0</v>
      </c>
      <c r="H253" s="69">
        <f>IF(OR(ISBLANK('Personnel Yr 5'!S31),'Personnel Yr 5'!S31=""),0,ROUND(('Personnel Yr 5'!S31),0))</f>
        <v>0</v>
      </c>
      <c r="I253" s="69">
        <f>SUM(D253:H253)</f>
        <v>0</v>
      </c>
    </row>
    <row r="254" spans="1:9" x14ac:dyDescent="0.2">
      <c r="A254" s="244" t="s">
        <v>120</v>
      </c>
      <c r="B254" s="265">
        <f>(D254/17)*D353</f>
        <v>0</v>
      </c>
      <c r="C254" s="68"/>
      <c r="D254" s="69">
        <f>ROUND(('Personnel Yr 1'!S31),0)</f>
        <v>0</v>
      </c>
      <c r="E254" s="69">
        <f>IF(OR(ISBLANK('Personnel Yr 2'!R31),'Personnel Yr 2'!R31=""),0,ROUND(('Personnel Yr 2'!R31),0))</f>
        <v>0</v>
      </c>
      <c r="F254" s="69">
        <f>IF(OR(ISBLANK('Personnel Yr 3'!R31),'Personnel Yr 3'!R31=""),0,ROUND(('Personnel Yr 3'!R31),0))</f>
        <v>0</v>
      </c>
      <c r="G254" s="69">
        <f>IF(OR(ISBLANK('Personnel Yr 4'!R31),'Personnel Yr 4'!R31=""),0,ROUND(('Personnel Yr 4'!R31),0))</f>
        <v>0</v>
      </c>
      <c r="H254" s="69">
        <f>IF(OR(ISBLANK('Personnel Yr 5'!R31),'Personnel Yr 5'!R31=""),0,ROUND(('Personnel Yr 5'!R31),0))</f>
        <v>0</v>
      </c>
      <c r="I254" s="69">
        <f>SUM(D254:H254)</f>
        <v>0</v>
      </c>
    </row>
    <row r="255" spans="1:9" x14ac:dyDescent="0.2">
      <c r="A255" s="244" t="s">
        <v>121</v>
      </c>
      <c r="B255" s="263"/>
      <c r="C255" s="68"/>
      <c r="D255" s="69">
        <f>ROUND(('Personnel Yr 1'!R31),0)</f>
        <v>0</v>
      </c>
      <c r="E255" s="69">
        <f>IF(OR(ISBLANK('Personnel Yr 2'!Q31),'Personnel Yr 2'!Q31=""),0,ROUND(('Personnel Yr 2'!Q31),0))</f>
        <v>0</v>
      </c>
      <c r="F255" s="69">
        <f>IF(OR(ISBLANK('Personnel Yr 3'!Q31),'Personnel Yr 3'!Q31=""),0,ROUND(('Personnel Yr 3'!Q31),0))</f>
        <v>0</v>
      </c>
      <c r="G255" s="69">
        <f>IF(OR(ISBLANK('Personnel Yr 4'!Q31),'Personnel Yr 4'!Q31=""),0,ROUND(('Personnel Yr 4'!Q31),0))</f>
        <v>0</v>
      </c>
      <c r="H255" s="69">
        <f>IF(OR(ISBLANK('Personnel Yr 5'!Q31),'Personnel Yr 5'!Q31=""),0,ROUND(('Personnel Yr 5'!Q31),0))</f>
        <v>0</v>
      </c>
      <c r="I255" s="69">
        <f>SUM(D255:H255)</f>
        <v>0</v>
      </c>
    </row>
    <row r="256" spans="1:9" x14ac:dyDescent="0.2">
      <c r="A256" s="727" t="str">
        <f>CONCATENATE('Personnel Yr 1'!B32, IF(OR(ISBLANK('Personnel Yr 1'!B32),'Personnel Yr 1'!B32=""),""," "),'Personnel Yr 1'!C32, " ",'Personnel Yr 1'!D32,IF(OR(ISBLANK('Personnel Yr 1'!D32),'Personnel Yr 1'!D32=""),""," "),'Personnel Yr 1'!E32," ",'Personnel Yr 1'!F32)</f>
        <v xml:space="preserve">  </v>
      </c>
      <c r="B256" s="728"/>
      <c r="C256" s="63"/>
      <c r="D256" s="65"/>
      <c r="E256" s="73"/>
      <c r="F256" s="73"/>
      <c r="G256" s="73"/>
      <c r="H256" s="73"/>
      <c r="I256" s="74"/>
    </row>
    <row r="257" spans="1:9" x14ac:dyDescent="0.2">
      <c r="A257" s="244" t="s">
        <v>65</v>
      </c>
      <c r="B257" s="265">
        <f>(D257/17)*D357</f>
        <v>0</v>
      </c>
      <c r="C257" s="68"/>
      <c r="D257" s="69">
        <f>ROUND(('Personnel Yr 1'!T32),0)</f>
        <v>0</v>
      </c>
      <c r="E257" s="69">
        <f>IF(OR(ISBLANK('Personnel Yr 2'!S32),'Personnel Yr 2'!S32=""),0,ROUND(('Personnel Yr 2'!S32),0))</f>
        <v>0</v>
      </c>
      <c r="F257" s="69">
        <f>IF(OR(ISBLANK('Personnel Yr 3'!S32),'Personnel Yr 3'!S32=""),0,ROUND(('Personnel Yr 3'!S32),0))</f>
        <v>0</v>
      </c>
      <c r="G257" s="69">
        <f>IF(OR(ISBLANK('Personnel Yr 4'!S32),'Personnel Yr 4'!S32=""),0,ROUND(('Personnel Yr 4'!S32),0))</f>
        <v>0</v>
      </c>
      <c r="H257" s="69">
        <f>IF(OR(ISBLANK('Personnel Yr 5'!S32),'Personnel Yr 5'!S32=""),0,ROUND(('Personnel Yr 5'!S32),0))</f>
        <v>0</v>
      </c>
      <c r="I257" s="69">
        <f>SUM(D257:H257)</f>
        <v>0</v>
      </c>
    </row>
    <row r="258" spans="1:9" x14ac:dyDescent="0.2">
      <c r="A258" s="244" t="s">
        <v>120</v>
      </c>
      <c r="B258" s="265">
        <f>(D258/17)*D360</f>
        <v>0</v>
      </c>
      <c r="C258" s="68"/>
      <c r="D258" s="69">
        <f>ROUND(('Personnel Yr 1'!S32),0)</f>
        <v>0</v>
      </c>
      <c r="E258" s="69">
        <f>IF(OR(ISBLANK('Personnel Yr 2'!R32),'Personnel Yr 2'!R32=""),0,ROUND(('Personnel Yr 2'!R32),0))</f>
        <v>0</v>
      </c>
      <c r="F258" s="69">
        <f>IF(OR(ISBLANK('Personnel Yr 3'!R32),'Personnel Yr 3'!R32=""),0,ROUND(('Personnel Yr 3'!R32),0))</f>
        <v>0</v>
      </c>
      <c r="G258" s="69">
        <f>IF(OR(ISBLANK('Personnel Yr 4'!R32),'Personnel Yr 4'!R32=""),0,ROUND(('Personnel Yr 4'!R32),0))</f>
        <v>0</v>
      </c>
      <c r="H258" s="69">
        <f>IF(OR(ISBLANK('Personnel Yr 5'!R32),'Personnel Yr 5'!R32=""),0,ROUND(('Personnel Yr 5'!R32),0))</f>
        <v>0</v>
      </c>
      <c r="I258" s="69">
        <f>SUM(D258:H258)</f>
        <v>0</v>
      </c>
    </row>
    <row r="259" spans="1:9" x14ac:dyDescent="0.2">
      <c r="A259" s="244" t="s">
        <v>121</v>
      </c>
      <c r="B259" s="263"/>
      <c r="C259" s="68"/>
      <c r="D259" s="69">
        <f>ROUND(('Personnel Yr 1'!R32),0)</f>
        <v>0</v>
      </c>
      <c r="E259" s="69">
        <f>IF(OR(ISBLANK('Personnel Yr 2'!Q32),'Personnel Yr 2'!Q32=""),0,ROUND(('Personnel Yr 2'!Q32),0))</f>
        <v>0</v>
      </c>
      <c r="F259" s="69">
        <f>IF(OR(ISBLANK('Personnel Yr 3'!Q32),'Personnel Yr 3'!Q32=""),0,ROUND(('Personnel Yr 3'!Q32),0))</f>
        <v>0</v>
      </c>
      <c r="G259" s="69">
        <f>IF(OR(ISBLANK('Personnel Yr 4'!Q32),'Personnel Yr 4'!Q32=""),0,ROUND(('Personnel Yr 4'!Q32),0))</f>
        <v>0</v>
      </c>
      <c r="H259" s="69">
        <f>IF(OR(ISBLANK('Personnel Yr 5'!Q32),'Personnel Yr 5'!Q32=""),0,ROUND(('Personnel Yr 5'!Q32),0))</f>
        <v>0</v>
      </c>
      <c r="I259" s="69">
        <f>SUM(D259:H259)</f>
        <v>0</v>
      </c>
    </row>
    <row r="260" spans="1:9" x14ac:dyDescent="0.2">
      <c r="A260" s="727" t="str">
        <f>CONCATENATE('Personnel Yr 1'!B33, IF(OR(ISBLANK('Personnel Yr 1'!B33),'Personnel Yr 1'!B33=""),""," "),'Personnel Yr 1'!C33, " ",'Personnel Yr 1'!D33,IF(OR(ISBLANK('Personnel Yr 1'!D33),'Personnel Yr 1'!D33=""),""," "),'Personnel Yr 1'!E33," ",'Personnel Yr 1'!F33)</f>
        <v xml:space="preserve">  </v>
      </c>
      <c r="B260" s="728"/>
      <c r="C260" s="63"/>
      <c r="D260" s="70"/>
      <c r="E260" s="71"/>
      <c r="F260" s="71"/>
      <c r="G260" s="71"/>
      <c r="H260" s="71"/>
      <c r="I260" s="72"/>
    </row>
    <row r="261" spans="1:9" x14ac:dyDescent="0.2">
      <c r="A261" s="244" t="s">
        <v>65</v>
      </c>
      <c r="B261" s="265">
        <f>(D261/17)*D364</f>
        <v>0</v>
      </c>
      <c r="C261" s="68"/>
      <c r="D261" s="69">
        <f>ROUND(('Personnel Yr 1'!T33),0)</f>
        <v>0</v>
      </c>
      <c r="E261" s="69">
        <f>IF(OR(ISBLANK('Personnel Yr 2'!S33),'Personnel Yr 2'!S33=""),0,ROUND(('Personnel Yr 2'!S33),0))</f>
        <v>0</v>
      </c>
      <c r="F261" s="69">
        <f>IF(OR(ISBLANK('Personnel Yr 3'!S33),'Personnel Yr 3'!S33=""),0,ROUND(('Personnel Yr 3'!S33),0))</f>
        <v>0</v>
      </c>
      <c r="G261" s="69">
        <f>IF(OR(ISBLANK('Personnel Yr 4'!S33),'Personnel Yr 4'!S33=""),0,ROUND(('Personnel Yr 4'!S33),0))</f>
        <v>0</v>
      </c>
      <c r="H261" s="69">
        <f>IF(OR(ISBLANK('Personnel Yr 5'!S33),'Personnel Yr 5'!S33=""),0,ROUND(('Personnel Yr 5'!S33),0))</f>
        <v>0</v>
      </c>
      <c r="I261" s="69">
        <f>SUM(D261:H261)</f>
        <v>0</v>
      </c>
    </row>
    <row r="262" spans="1:9" x14ac:dyDescent="0.2">
      <c r="A262" s="244" t="s">
        <v>120</v>
      </c>
      <c r="B262" s="265">
        <f>(D262/17)*D367</f>
        <v>0</v>
      </c>
      <c r="C262" s="68"/>
      <c r="D262" s="69">
        <f>ROUND(('Personnel Yr 1'!S33),0)</f>
        <v>0</v>
      </c>
      <c r="E262" s="69">
        <f>IF(OR(ISBLANK('Personnel Yr 2'!R33),'Personnel Yr 2'!R33=""),0,ROUND(('Personnel Yr 2'!R33),0))</f>
        <v>0</v>
      </c>
      <c r="F262" s="69">
        <f>IF(OR(ISBLANK('Personnel Yr 3'!R33),'Personnel Yr 3'!R33=""),0,ROUND(('Personnel Yr 3'!R33),0))</f>
        <v>0</v>
      </c>
      <c r="G262" s="69">
        <f>IF(OR(ISBLANK('Personnel Yr 4'!R33),'Personnel Yr 4'!R33=""),0,ROUND(('Personnel Yr 4'!R33),0))</f>
        <v>0</v>
      </c>
      <c r="H262" s="69">
        <f>IF(OR(ISBLANK('Personnel Yr 5'!R33),'Personnel Yr 5'!R33=""),0,ROUND(('Personnel Yr 5'!R33),0))</f>
        <v>0</v>
      </c>
      <c r="I262" s="69">
        <f>SUM(D262:H262)</f>
        <v>0</v>
      </c>
    </row>
    <row r="263" spans="1:9" x14ac:dyDescent="0.2">
      <c r="A263" s="244" t="s">
        <v>121</v>
      </c>
      <c r="B263" s="263"/>
      <c r="C263" s="68"/>
      <c r="D263" s="69">
        <f>ROUND(('Personnel Yr 1'!R33),0)</f>
        <v>0</v>
      </c>
      <c r="E263" s="69">
        <f>IF(OR(ISBLANK('Personnel Yr 2'!Q33),'Personnel Yr 2'!Q33=""),0,ROUND(('Personnel Yr 2'!Q33),0))</f>
        <v>0</v>
      </c>
      <c r="F263" s="69">
        <f>IF(OR(ISBLANK('Personnel Yr 3'!Q33),'Personnel Yr 3'!Q33=""),0,ROUND(('Personnel Yr 3'!Q33),0))</f>
        <v>0</v>
      </c>
      <c r="G263" s="69">
        <f>IF(OR(ISBLANK('Personnel Yr 4'!Q33),'Personnel Yr 4'!Q33=""),0,ROUND(('Personnel Yr 4'!Q33),0))</f>
        <v>0</v>
      </c>
      <c r="H263" s="69">
        <f>IF(OR(ISBLANK('Personnel Yr 5'!Q33),'Personnel Yr 5'!Q33=""),0,ROUND(('Personnel Yr 5'!Q33),0))</f>
        <v>0</v>
      </c>
      <c r="I263" s="69">
        <f>SUM(D263:H263)</f>
        <v>0</v>
      </c>
    </row>
    <row r="264" spans="1:9" x14ac:dyDescent="0.2">
      <c r="A264" s="727" t="str">
        <f>CONCATENATE('Personnel Yr 1'!B34, IF(OR(ISBLANK('Personnel Yr 1'!B34),'Personnel Yr 1'!B34=""),""," "),'Personnel Yr 1'!C34, " ",'Personnel Yr 1'!D34,IF(OR(ISBLANK('Personnel Yr 1'!D34),'Personnel Yr 1'!D34=""),""," "),'Personnel Yr 1'!E34," ",'Personnel Yr 1'!F34)</f>
        <v xml:space="preserve">  </v>
      </c>
      <c r="B264" s="728"/>
      <c r="C264" s="63"/>
      <c r="D264" s="70"/>
      <c r="E264" s="71"/>
      <c r="F264" s="71"/>
      <c r="G264" s="71"/>
      <c r="H264" s="71"/>
      <c r="I264" s="72"/>
    </row>
    <row r="265" spans="1:9" x14ac:dyDescent="0.2">
      <c r="A265" s="244" t="s">
        <v>65</v>
      </c>
      <c r="B265" s="265">
        <f>(D265/17)*D371</f>
        <v>0</v>
      </c>
      <c r="C265" s="68"/>
      <c r="D265" s="69">
        <f>ROUND(('Personnel Yr 1'!T34),0)</f>
        <v>0</v>
      </c>
      <c r="E265" s="69">
        <f>IF(OR(ISBLANK('Personnel Yr 2'!S34),'Personnel Yr 2'!S34=""),0,ROUND(('Personnel Yr 2'!S34),0))</f>
        <v>0</v>
      </c>
      <c r="F265" s="69">
        <f>IF(OR(ISBLANK('Personnel Yr 3'!S34),'Personnel Yr 3'!S34=""),0,ROUND(('Personnel Yr 3'!S34),0))</f>
        <v>0</v>
      </c>
      <c r="G265" s="69">
        <f>IF(OR(ISBLANK('Personnel Yr 4'!S34),'Personnel Yr 4'!S34=""),0,ROUND(('Personnel Yr 4'!S34),0))</f>
        <v>0</v>
      </c>
      <c r="H265" s="69">
        <f>IF(OR(ISBLANK('Personnel Yr 5'!S34),'Personnel Yr 5'!S34=""),0,ROUND(('Personnel Yr 5'!S34),0))</f>
        <v>0</v>
      </c>
      <c r="I265" s="69">
        <f t="shared" ref="I265:I268" si="15">SUM(D265:H265)</f>
        <v>0</v>
      </c>
    </row>
    <row r="266" spans="1:9" x14ac:dyDescent="0.2">
      <c r="A266" s="244" t="s">
        <v>120</v>
      </c>
      <c r="B266" s="265">
        <f>(D266/17)*D374</f>
        <v>0</v>
      </c>
      <c r="C266" s="68"/>
      <c r="D266" s="69">
        <f>ROUND(('Personnel Yr 1'!S34),0)</f>
        <v>0</v>
      </c>
      <c r="E266" s="69">
        <f>IF(OR(ISBLANK('Personnel Yr 2'!R34),'Personnel Yr 2'!R34=""),0,ROUND(('Personnel Yr 2'!R34),0))</f>
        <v>0</v>
      </c>
      <c r="F266" s="69">
        <f>IF(OR(ISBLANK('Personnel Yr 3'!R34),'Personnel Yr 3'!R34=""),0,ROUND(('Personnel Yr 3'!R34),0))</f>
        <v>0</v>
      </c>
      <c r="G266" s="69">
        <f>IF(OR(ISBLANK('Personnel Yr 4'!R34),'Personnel Yr 4'!R34=""),0,ROUND(('Personnel Yr 4'!R34),0))</f>
        <v>0</v>
      </c>
      <c r="H266" s="69">
        <f>IF(OR(ISBLANK('Personnel Yr 5'!R34),'Personnel Yr 5'!R34=""),0,ROUND(('Personnel Yr 5'!R34),0))</f>
        <v>0</v>
      </c>
      <c r="I266" s="69">
        <f t="shared" si="15"/>
        <v>0</v>
      </c>
    </row>
    <row r="267" spans="1:9" ht="13.5" thickBot="1" x14ac:dyDescent="0.25">
      <c r="A267" s="245" t="s">
        <v>121</v>
      </c>
      <c r="B267" s="266"/>
      <c r="C267" s="142"/>
      <c r="D267" s="143">
        <f>ROUND(('Personnel Yr 1'!R34),0)</f>
        <v>0</v>
      </c>
      <c r="E267" s="143">
        <f>IF(OR(ISBLANK('Personnel Yr 2'!Q34),'Personnel Yr 2'!Q34=""),0,ROUND(('Personnel Yr 2'!Q34),0))</f>
        <v>0</v>
      </c>
      <c r="F267" s="143">
        <f>IF(OR(ISBLANK('Personnel Yr 3'!Q34),'Personnel Yr 3'!Q34=""),0,ROUND(('Personnel Yr 3'!Q34),0))</f>
        <v>0</v>
      </c>
      <c r="G267" s="143">
        <f>IF(OR(ISBLANK('Personnel Yr 4'!Q34),'Personnel Yr 4'!Q34=""),0,ROUND(('Personnel Yr 4'!Q34),0))</f>
        <v>0</v>
      </c>
      <c r="H267" s="143">
        <f>IF(OR(ISBLANK('Personnel Yr 5'!Q34),'Personnel Yr 5'!Q34=""),0,ROUND(('Personnel Yr 5'!Q34),0))</f>
        <v>0</v>
      </c>
      <c r="I267" s="143">
        <f t="shared" si="15"/>
        <v>0</v>
      </c>
    </row>
    <row r="268" spans="1:9" ht="13.5" customHeight="1" thickTop="1" thickBot="1" x14ac:dyDescent="0.25">
      <c r="A268" s="739" t="s">
        <v>236</v>
      </c>
      <c r="B268" s="740"/>
      <c r="C268" s="78"/>
      <c r="D268" s="79">
        <f>SUM(D265:D267,D261:D263,D257:D259,D253:D255,D249:D251,D245:D247,D241:D243,D237:D239,D233:D235,D229:D231,D225:D227,D221:D223,D217:D219,D213:D215,D209:D211)</f>
        <v>0</v>
      </c>
      <c r="E268" s="79">
        <f>SUM(E265:E267,E261:E263,E257:E259,E253:E255,E249:E251,E245:E247,E241:E243,E237:E239,E233:E235,E229:E231,E225:E227,E221:E223,E217:E219,E213:E215,E209:E211)</f>
        <v>0</v>
      </c>
      <c r="F268" s="79">
        <f t="shared" ref="F268:H268" si="16">SUM(F265:F267,F261:F263,F257:F259,F253:F255,F249:F251,F245:F247,F241:F243,F237:F239,F233:F235,F229:F231,F225:F227,F221:F223,F217:F219,F213:F215,F209:F211)</f>
        <v>0</v>
      </c>
      <c r="G268" s="79">
        <f t="shared" si="16"/>
        <v>0</v>
      </c>
      <c r="H268" s="79">
        <f t="shared" si="16"/>
        <v>0</v>
      </c>
      <c r="I268" s="79">
        <f t="shared" si="15"/>
        <v>0</v>
      </c>
    </row>
    <row r="269" spans="1:9" ht="13.5" thickTop="1" x14ac:dyDescent="0.2">
      <c r="A269" s="214"/>
      <c r="B269" s="214"/>
      <c r="C269" s="214"/>
      <c r="D269" s="102"/>
      <c r="E269" s="102"/>
      <c r="F269" s="102"/>
      <c r="G269" s="102"/>
      <c r="H269" s="102"/>
      <c r="I269" s="102"/>
    </row>
    <row r="270" spans="1:9" ht="15" x14ac:dyDescent="0.25">
      <c r="A270" s="710" t="s">
        <v>234</v>
      </c>
      <c r="B270" s="710"/>
      <c r="C270" s="710"/>
      <c r="D270" s="64"/>
      <c r="E270" s="64"/>
      <c r="F270" s="64"/>
      <c r="G270" s="64"/>
      <c r="H270" s="64"/>
      <c r="I270" s="64"/>
    </row>
    <row r="271" spans="1:9" x14ac:dyDescent="0.2">
      <c r="A271" s="695" t="str">
        <f>CONCATENATE('Personnel Yr 1'!B20, IF(OR(ISBLANK('Personnel Yr 1'!B20),'Personnel Yr 1'!B20=""),""," "),'Personnel Yr 1'!C20, " ",'Personnel Yr 1'!D20,IF(OR(ISBLANK('Personnel Yr 1'!D20),'Personnel Yr 1'!D20=""),""," "),'Personnel Yr 1'!E20," ",'Personnel Yr 1'!F20)</f>
        <v xml:space="preserve">  </v>
      </c>
      <c r="B271" s="695"/>
      <c r="C271" s="66" t="s">
        <v>119</v>
      </c>
      <c r="D271" s="82" t="s">
        <v>32</v>
      </c>
      <c r="E271" s="82" t="s">
        <v>33</v>
      </c>
      <c r="F271" s="82" t="s">
        <v>34</v>
      </c>
      <c r="G271" s="82" t="s">
        <v>35</v>
      </c>
      <c r="H271" s="82" t="s">
        <v>36</v>
      </c>
      <c r="I271" s="67" t="s">
        <v>37</v>
      </c>
    </row>
    <row r="272" spans="1:9" x14ac:dyDescent="0.2">
      <c r="A272" s="83" t="str">
        <f>IF(ISBLANK('Personnel Yr 1'!G20),"",'Personnel Yr 1'!G20)</f>
        <v/>
      </c>
      <c r="B272" s="84" t="s">
        <v>126</v>
      </c>
      <c r="C272" s="84"/>
      <c r="D272" s="85">
        <f>SUM('Personnel Yr 1'!L20)</f>
        <v>0</v>
      </c>
      <c r="E272" s="85">
        <f>SUM('Personnel Yr 2'!L20)</f>
        <v>0</v>
      </c>
      <c r="F272" s="85">
        <f>SUM('Personnel Yr 3'!L20)</f>
        <v>0</v>
      </c>
      <c r="G272" s="85">
        <f>SUM('Personnel Yr 4'!L20)</f>
        <v>0</v>
      </c>
      <c r="H272" s="85">
        <f>SUM('Personnel Yr 5'!L20)</f>
        <v>0</v>
      </c>
      <c r="I272" s="85">
        <f>SUM(D272:H272)</f>
        <v>0</v>
      </c>
    </row>
    <row r="273" spans="1:9" x14ac:dyDescent="0.2">
      <c r="A273" s="86"/>
      <c r="B273" s="173" t="s">
        <v>127</v>
      </c>
      <c r="C273" s="173"/>
      <c r="D273" s="174">
        <f>D272/3.5</f>
        <v>0</v>
      </c>
      <c r="E273" s="174">
        <f>E272/3.5</f>
        <v>0</v>
      </c>
      <c r="F273" s="174">
        <f>F272/3.5</f>
        <v>0</v>
      </c>
      <c r="G273" s="174">
        <f>G272/3.5</f>
        <v>0</v>
      </c>
      <c r="H273" s="174">
        <f>H272/3.5</f>
        <v>0</v>
      </c>
      <c r="I273" s="175"/>
    </row>
    <row r="274" spans="1:9" x14ac:dyDescent="0.2">
      <c r="A274" s="87"/>
      <c r="B274" s="88" t="s">
        <v>128</v>
      </c>
      <c r="C274" s="88"/>
      <c r="D274" s="85">
        <f>SUM('Personnel Yr 1'!K20)</f>
        <v>0</v>
      </c>
      <c r="E274" s="85">
        <f>SUM('Personnel Yr 2'!K20)</f>
        <v>0</v>
      </c>
      <c r="F274" s="85">
        <f>SUM('Personnel Yr 3'!K20)</f>
        <v>0</v>
      </c>
      <c r="G274" s="85">
        <f>SUM('Personnel Yr 4'!K20)</f>
        <v>0</v>
      </c>
      <c r="H274" s="85">
        <f>SUM('Personnel Yr 5'!K20)</f>
        <v>0</v>
      </c>
      <c r="I274" s="85">
        <f>SUM(D274:H274)</f>
        <v>0</v>
      </c>
    </row>
    <row r="275" spans="1:9" x14ac:dyDescent="0.2">
      <c r="A275" s="87"/>
      <c r="B275" s="176" t="s">
        <v>129</v>
      </c>
      <c r="C275" s="176"/>
      <c r="D275" s="177">
        <f>D274/8.5</f>
        <v>0</v>
      </c>
      <c r="E275" s="177">
        <f>E274/8.5</f>
        <v>0</v>
      </c>
      <c r="F275" s="177">
        <f>F274/8.5</f>
        <v>0</v>
      </c>
      <c r="G275" s="177">
        <f>G274/8.5</f>
        <v>0</v>
      </c>
      <c r="H275" s="177">
        <f>H274/8.5</f>
        <v>0</v>
      </c>
      <c r="I275" s="178"/>
    </row>
    <row r="276" spans="1:9" x14ac:dyDescent="0.2">
      <c r="A276" s="87"/>
      <c r="B276" s="88" t="s">
        <v>130</v>
      </c>
      <c r="C276" s="88"/>
      <c r="D276" s="85">
        <f>SUM('Personnel Yr 1'!J20)</f>
        <v>0</v>
      </c>
      <c r="E276" s="85">
        <f>SUM('Personnel Yr 2'!J20)</f>
        <v>0</v>
      </c>
      <c r="F276" s="85">
        <f>SUM('Personnel Yr 3'!J20)</f>
        <v>0</v>
      </c>
      <c r="G276" s="85">
        <f>SUM('Personnel Yr 4'!J20)</f>
        <v>0</v>
      </c>
      <c r="H276" s="85">
        <f>SUM('Personnel Yr 5'!J20)</f>
        <v>0</v>
      </c>
      <c r="I276" s="85">
        <f>SUM(D276:H276)</f>
        <v>0</v>
      </c>
    </row>
    <row r="277" spans="1:9" x14ac:dyDescent="0.2">
      <c r="A277" s="87"/>
      <c r="B277" s="176" t="s">
        <v>131</v>
      </c>
      <c r="C277" s="176"/>
      <c r="D277" s="177">
        <f>D276/12</f>
        <v>0</v>
      </c>
      <c r="E277" s="177">
        <f>E276/12</f>
        <v>0</v>
      </c>
      <c r="F277" s="177">
        <f>F276/12</f>
        <v>0</v>
      </c>
      <c r="G277" s="177">
        <f>G276/12</f>
        <v>0</v>
      </c>
      <c r="H277" s="177">
        <f>H276/12</f>
        <v>0</v>
      </c>
      <c r="I277" s="179"/>
    </row>
    <row r="278" spans="1:9" x14ac:dyDescent="0.2">
      <c r="A278" s="693" t="str">
        <f>CONCATENATE('Personnel Yr 1'!B21, IF(OR(ISBLANK('Personnel Yr 1'!B21),'Personnel Yr 1'!B21=""),""," "),'Personnel Yr 1'!C21, " ",'Personnel Yr 1'!D21,IF(OR(ISBLANK('Personnel Yr 1'!D21),'Personnel Yr 1'!D21=""),""," "),'Personnel Yr 1'!E21," ",'Personnel Yr 1'!F21)</f>
        <v xml:space="preserve">  </v>
      </c>
      <c r="B278" s="694"/>
      <c r="C278" s="90"/>
      <c r="D278" s="91"/>
      <c r="E278" s="91"/>
      <c r="F278" s="91"/>
      <c r="G278" s="91"/>
      <c r="H278" s="91"/>
      <c r="I278" s="89"/>
    </row>
    <row r="279" spans="1:9" x14ac:dyDescent="0.2">
      <c r="A279" s="83" t="str">
        <f>IF(ISBLANK('Personnel Yr 1'!G21),"",'Personnel Yr 1'!G21)</f>
        <v/>
      </c>
      <c r="B279" s="84" t="s">
        <v>126</v>
      </c>
      <c r="C279" s="84"/>
      <c r="D279" s="85">
        <f>SUM('Personnel Yr 1'!L21)</f>
        <v>0</v>
      </c>
      <c r="E279" s="85">
        <f>SUM('Personnel Yr 2'!L21)</f>
        <v>0</v>
      </c>
      <c r="F279" s="85">
        <f>SUM('Personnel Yr 3'!L21)</f>
        <v>0</v>
      </c>
      <c r="G279" s="85">
        <f>SUM('Personnel Yr 4'!L21)</f>
        <v>0</v>
      </c>
      <c r="H279" s="85">
        <f>SUM('Personnel Yr 5'!L21)</f>
        <v>0</v>
      </c>
      <c r="I279" s="85">
        <f>SUM(D279:H279)</f>
        <v>0</v>
      </c>
    </row>
    <row r="280" spans="1:9" x14ac:dyDescent="0.2">
      <c r="A280" s="86"/>
      <c r="B280" s="180" t="s">
        <v>127</v>
      </c>
      <c r="C280" s="180"/>
      <c r="D280" s="174">
        <f>D279/3.5</f>
        <v>0</v>
      </c>
      <c r="E280" s="174">
        <f>E279/3.5</f>
        <v>0</v>
      </c>
      <c r="F280" s="174">
        <f>F279/3.5</f>
        <v>0</v>
      </c>
      <c r="G280" s="174">
        <f>G279/3.5</f>
        <v>0</v>
      </c>
      <c r="H280" s="174">
        <f>H279/3.5</f>
        <v>0</v>
      </c>
      <c r="I280" s="178"/>
    </row>
    <row r="281" spans="1:9" x14ac:dyDescent="0.2">
      <c r="A281" s="87"/>
      <c r="B281" s="88" t="s">
        <v>128</v>
      </c>
      <c r="C281" s="88"/>
      <c r="D281" s="85">
        <f>SUM('Personnel Yr 1'!K21)</f>
        <v>0</v>
      </c>
      <c r="E281" s="85">
        <f>SUM('Personnel Yr 2'!K21)</f>
        <v>0</v>
      </c>
      <c r="F281" s="85">
        <f>SUM('Personnel Yr 3'!K21)</f>
        <v>0</v>
      </c>
      <c r="G281" s="85">
        <f>SUM('Personnel Yr 4'!K21)</f>
        <v>0</v>
      </c>
      <c r="H281" s="85">
        <f>SUM('Personnel Yr 5'!K21)</f>
        <v>0</v>
      </c>
      <c r="I281" s="85">
        <f>SUM(D281:H281)</f>
        <v>0</v>
      </c>
    </row>
    <row r="282" spans="1:9" x14ac:dyDescent="0.2">
      <c r="A282" s="87"/>
      <c r="B282" s="176" t="s">
        <v>129</v>
      </c>
      <c r="C282" s="176"/>
      <c r="D282" s="177">
        <f>D281/8.5</f>
        <v>0</v>
      </c>
      <c r="E282" s="177">
        <f>E281/8.5</f>
        <v>0</v>
      </c>
      <c r="F282" s="177">
        <f>F281/8.5</f>
        <v>0</v>
      </c>
      <c r="G282" s="177">
        <f>G281/8.5</f>
        <v>0</v>
      </c>
      <c r="H282" s="177">
        <f>H281/8.5</f>
        <v>0</v>
      </c>
      <c r="I282" s="178"/>
    </row>
    <row r="283" spans="1:9" x14ac:dyDescent="0.2">
      <c r="A283" s="87"/>
      <c r="B283" s="88" t="s">
        <v>130</v>
      </c>
      <c r="C283" s="88"/>
      <c r="D283" s="85">
        <f>SUM('Personnel Yr 1'!J21)</f>
        <v>0</v>
      </c>
      <c r="E283" s="85">
        <f>SUM('Personnel Yr 2'!J21)</f>
        <v>0</v>
      </c>
      <c r="F283" s="85">
        <f>SUM('Personnel Yr 3'!J21)</f>
        <v>0</v>
      </c>
      <c r="G283" s="85">
        <f>SUM('Personnel Yr 4'!J21)</f>
        <v>0</v>
      </c>
      <c r="H283" s="85">
        <f>SUM('Personnel Yr 5'!J21)</f>
        <v>0</v>
      </c>
      <c r="I283" s="85">
        <f>SUM(D283:H283)</f>
        <v>0</v>
      </c>
    </row>
    <row r="284" spans="1:9" x14ac:dyDescent="0.2">
      <c r="A284" s="87"/>
      <c r="B284" s="176" t="s">
        <v>131</v>
      </c>
      <c r="C284" s="176"/>
      <c r="D284" s="177">
        <f>D283/12</f>
        <v>0</v>
      </c>
      <c r="E284" s="177">
        <f>E283/12</f>
        <v>0</v>
      </c>
      <c r="F284" s="177">
        <f>F283/12</f>
        <v>0</v>
      </c>
      <c r="G284" s="177">
        <f>G283/12</f>
        <v>0</v>
      </c>
      <c r="H284" s="177">
        <f>H283/12</f>
        <v>0</v>
      </c>
      <c r="I284" s="179"/>
    </row>
    <row r="285" spans="1:9" x14ac:dyDescent="0.2">
      <c r="A285" s="693" t="str">
        <f>CONCATENATE('Personnel Yr 1'!B22, IF(OR(ISBLANK('Personnel Yr 1'!B22),'Personnel Yr 1'!B22=""),""," "),'Personnel Yr 1'!C22, " ",'Personnel Yr 1'!D22,IF(OR(ISBLANK('Personnel Yr 1'!D22),'Personnel Yr 1'!D22=""),""," "),'Personnel Yr 1'!E22," ",'Personnel Yr 1'!F22)</f>
        <v xml:space="preserve">  </v>
      </c>
      <c r="B285" s="694"/>
      <c r="C285" s="90"/>
      <c r="D285" s="91"/>
      <c r="E285" s="91"/>
      <c r="F285" s="91"/>
      <c r="G285" s="91"/>
      <c r="H285" s="91"/>
      <c r="I285" s="89"/>
    </row>
    <row r="286" spans="1:9" x14ac:dyDescent="0.2">
      <c r="A286" s="86" t="str">
        <f>IF(ISBLANK('Personnel Yr 1'!G22),"",'Personnel Yr 1'!G22)</f>
        <v/>
      </c>
      <c r="B286" s="84" t="s">
        <v>126</v>
      </c>
      <c r="C286" s="84"/>
      <c r="D286" s="85">
        <f>SUM('Personnel Yr 1'!L22)</f>
        <v>0</v>
      </c>
      <c r="E286" s="85">
        <f>SUM('Personnel Yr 2'!L22)</f>
        <v>0</v>
      </c>
      <c r="F286" s="85">
        <f>SUM('Personnel Yr 3'!L22)</f>
        <v>0</v>
      </c>
      <c r="G286" s="85">
        <f>SUM('Personnel Yr 4'!L22)</f>
        <v>0</v>
      </c>
      <c r="H286" s="85">
        <f>SUM('Personnel Yr 5'!L22)</f>
        <v>0</v>
      </c>
      <c r="I286" s="85">
        <f>SUM(D286:H286)</f>
        <v>0</v>
      </c>
    </row>
    <row r="287" spans="1:9" x14ac:dyDescent="0.2">
      <c r="A287" s="86"/>
      <c r="B287" s="180" t="s">
        <v>127</v>
      </c>
      <c r="C287" s="180"/>
      <c r="D287" s="174">
        <f>D286/3.5</f>
        <v>0</v>
      </c>
      <c r="E287" s="174">
        <f>E286/3.5</f>
        <v>0</v>
      </c>
      <c r="F287" s="174">
        <f>F286/3.5</f>
        <v>0</v>
      </c>
      <c r="G287" s="174">
        <f>G286/3.5</f>
        <v>0</v>
      </c>
      <c r="H287" s="174">
        <f>H286/3.5</f>
        <v>0</v>
      </c>
      <c r="I287" s="178"/>
    </row>
    <row r="288" spans="1:9" x14ac:dyDescent="0.2">
      <c r="A288" s="87"/>
      <c r="B288" s="88" t="s">
        <v>128</v>
      </c>
      <c r="C288" s="88"/>
      <c r="D288" s="85">
        <f>SUM('Personnel Yr 1'!K22)</f>
        <v>0</v>
      </c>
      <c r="E288" s="85">
        <f>SUM('Personnel Yr 2'!K22)</f>
        <v>0</v>
      </c>
      <c r="F288" s="85">
        <f>SUM('Personnel Yr 3'!K22)</f>
        <v>0</v>
      </c>
      <c r="G288" s="85">
        <f>SUM('Personnel Yr 4'!K22)</f>
        <v>0</v>
      </c>
      <c r="H288" s="85">
        <f>SUM('Personnel Yr 5'!K22)</f>
        <v>0</v>
      </c>
      <c r="I288" s="85">
        <f>SUM(D288:H288)</f>
        <v>0</v>
      </c>
    </row>
    <row r="289" spans="1:9" x14ac:dyDescent="0.2">
      <c r="A289" s="87"/>
      <c r="B289" s="176" t="s">
        <v>129</v>
      </c>
      <c r="C289" s="176"/>
      <c r="D289" s="177">
        <f>D288/8.5</f>
        <v>0</v>
      </c>
      <c r="E289" s="177">
        <f>E288/8.5</f>
        <v>0</v>
      </c>
      <c r="F289" s="177">
        <f>F288/8.5</f>
        <v>0</v>
      </c>
      <c r="G289" s="177">
        <f>G288/8.5</f>
        <v>0</v>
      </c>
      <c r="H289" s="177">
        <f>H288/8.5</f>
        <v>0</v>
      </c>
      <c r="I289" s="178"/>
    </row>
    <row r="290" spans="1:9" x14ac:dyDescent="0.2">
      <c r="A290" s="87"/>
      <c r="B290" s="88" t="s">
        <v>130</v>
      </c>
      <c r="C290" s="88"/>
      <c r="D290" s="85">
        <f>SUM('Personnel Yr 1'!J22)</f>
        <v>0</v>
      </c>
      <c r="E290" s="85">
        <f>SUM('Personnel Yr 2'!J22)</f>
        <v>0</v>
      </c>
      <c r="F290" s="85">
        <f>SUM('Personnel Yr 3'!J22)</f>
        <v>0</v>
      </c>
      <c r="G290" s="85">
        <f>SUM('Personnel Yr 4'!J22)</f>
        <v>0</v>
      </c>
      <c r="H290" s="85">
        <f>SUM('Personnel Yr 5'!J22)</f>
        <v>0</v>
      </c>
      <c r="I290" s="85">
        <f>SUM(D290:H290)</f>
        <v>0</v>
      </c>
    </row>
    <row r="291" spans="1:9" x14ac:dyDescent="0.2">
      <c r="A291" s="87"/>
      <c r="B291" s="176" t="s">
        <v>131</v>
      </c>
      <c r="C291" s="176"/>
      <c r="D291" s="177">
        <f>D290/12</f>
        <v>0</v>
      </c>
      <c r="E291" s="177">
        <f>E290/12</f>
        <v>0</v>
      </c>
      <c r="F291" s="177">
        <f>F290/12</f>
        <v>0</v>
      </c>
      <c r="G291" s="177">
        <f>G290/12</f>
        <v>0</v>
      </c>
      <c r="H291" s="177">
        <f>H290/12</f>
        <v>0</v>
      </c>
      <c r="I291" s="179"/>
    </row>
    <row r="292" spans="1:9" x14ac:dyDescent="0.2">
      <c r="A292" s="693" t="str">
        <f>CONCATENATE('Personnel Yr 1'!B23, IF(OR(ISBLANK('Personnel Yr 1'!B23),'Personnel Yr 1'!B23=""),""," "),'Personnel Yr 1'!C23, " ",'Personnel Yr 1'!D23,IF(OR(ISBLANK('Personnel Yr 1'!D23),'Personnel Yr 1'!D23=""),""," "),'Personnel Yr 1'!E23," ",'Personnel Yr 1'!F23)</f>
        <v xml:space="preserve">  </v>
      </c>
      <c r="B292" s="694"/>
      <c r="C292" s="90"/>
      <c r="D292" s="91"/>
      <c r="E292" s="91"/>
      <c r="F292" s="91"/>
      <c r="G292" s="91"/>
      <c r="H292" s="91"/>
      <c r="I292" s="89"/>
    </row>
    <row r="293" spans="1:9" x14ac:dyDescent="0.2">
      <c r="A293" s="86" t="str">
        <f>IF(ISBLANK('Personnel Yr 1'!G23),"",'Personnel Yr 1'!G23)</f>
        <v/>
      </c>
      <c r="B293" s="84" t="s">
        <v>126</v>
      </c>
      <c r="C293" s="84"/>
      <c r="D293" s="85">
        <f>SUM('Personnel Yr 1'!L23)</f>
        <v>0</v>
      </c>
      <c r="E293" s="85">
        <f>SUM('Personnel Yr 2'!L23)</f>
        <v>0</v>
      </c>
      <c r="F293" s="85">
        <f>SUM('Personnel Yr 3'!L23)</f>
        <v>0</v>
      </c>
      <c r="G293" s="85">
        <f>SUM('Personnel Yr 4'!L23)</f>
        <v>0</v>
      </c>
      <c r="H293" s="85">
        <f>SUM('Personnel Yr 5'!L23)</f>
        <v>0</v>
      </c>
      <c r="I293" s="85">
        <f>SUM(D293:H293)</f>
        <v>0</v>
      </c>
    </row>
    <row r="294" spans="1:9" x14ac:dyDescent="0.2">
      <c r="A294" s="86"/>
      <c r="B294" s="180" t="s">
        <v>127</v>
      </c>
      <c r="C294" s="180"/>
      <c r="D294" s="174">
        <f>D293/3.5</f>
        <v>0</v>
      </c>
      <c r="E294" s="174">
        <f>E293/3.5</f>
        <v>0</v>
      </c>
      <c r="F294" s="174">
        <f>F293/3.5</f>
        <v>0</v>
      </c>
      <c r="G294" s="174">
        <f>G293/3.5</f>
        <v>0</v>
      </c>
      <c r="H294" s="174">
        <f>H293/3.5</f>
        <v>0</v>
      </c>
      <c r="I294" s="178"/>
    </row>
    <row r="295" spans="1:9" x14ac:dyDescent="0.2">
      <c r="A295" s="87"/>
      <c r="B295" s="88" t="s">
        <v>128</v>
      </c>
      <c r="C295" s="88"/>
      <c r="D295" s="85">
        <f>SUM('Personnel Yr 1'!K23)</f>
        <v>0</v>
      </c>
      <c r="E295" s="85">
        <f>SUM('Personnel Yr 2'!K23)</f>
        <v>0</v>
      </c>
      <c r="F295" s="85">
        <f>SUM('Personnel Yr 3'!K23)</f>
        <v>0</v>
      </c>
      <c r="G295" s="85">
        <f>SUM('Personnel Yr 4'!K23)</f>
        <v>0</v>
      </c>
      <c r="H295" s="85">
        <f>SUM('Personnel Yr 5'!K23)</f>
        <v>0</v>
      </c>
      <c r="I295" s="85">
        <f>SUM(D295:H295)</f>
        <v>0</v>
      </c>
    </row>
    <row r="296" spans="1:9" x14ac:dyDescent="0.2">
      <c r="A296" s="87"/>
      <c r="B296" s="176" t="s">
        <v>129</v>
      </c>
      <c r="C296" s="176"/>
      <c r="D296" s="177">
        <f>D295/8.5</f>
        <v>0</v>
      </c>
      <c r="E296" s="177">
        <f>E295/8.5</f>
        <v>0</v>
      </c>
      <c r="F296" s="177">
        <f>F295/8.5</f>
        <v>0</v>
      </c>
      <c r="G296" s="177">
        <f>G295/8.5</f>
        <v>0</v>
      </c>
      <c r="H296" s="177">
        <f>H295/8.5</f>
        <v>0</v>
      </c>
      <c r="I296" s="178"/>
    </row>
    <row r="297" spans="1:9" x14ac:dyDescent="0.2">
      <c r="A297" s="87"/>
      <c r="B297" s="88" t="s">
        <v>130</v>
      </c>
      <c r="C297" s="88"/>
      <c r="D297" s="85">
        <f>SUM('Personnel Yr 1'!J23)</f>
        <v>0</v>
      </c>
      <c r="E297" s="85">
        <f>SUM('Personnel Yr 2'!J23)</f>
        <v>0</v>
      </c>
      <c r="F297" s="85">
        <f>SUM('Personnel Yr 3'!J23)</f>
        <v>0</v>
      </c>
      <c r="G297" s="85">
        <f>SUM('Personnel Yr 4'!J23)</f>
        <v>0</v>
      </c>
      <c r="H297" s="85">
        <f>SUM('Personnel Yr 5'!J23)</f>
        <v>0</v>
      </c>
      <c r="I297" s="85">
        <f>SUM(D297:H297)</f>
        <v>0</v>
      </c>
    </row>
    <row r="298" spans="1:9" x14ac:dyDescent="0.2">
      <c r="A298" s="87"/>
      <c r="B298" s="176" t="s">
        <v>131</v>
      </c>
      <c r="C298" s="176"/>
      <c r="D298" s="177">
        <f>D297/12</f>
        <v>0</v>
      </c>
      <c r="E298" s="177">
        <f>E297/12</f>
        <v>0</v>
      </c>
      <c r="F298" s="177">
        <f>F297/12</f>
        <v>0</v>
      </c>
      <c r="G298" s="177">
        <f>G297/12</f>
        <v>0</v>
      </c>
      <c r="H298" s="177">
        <f>H297/12</f>
        <v>0</v>
      </c>
      <c r="I298" s="179"/>
    </row>
    <row r="299" spans="1:9" x14ac:dyDescent="0.2">
      <c r="A299" s="693" t="str">
        <f>CONCATENATE('Personnel Yr 1'!B24, IF(OR(ISBLANK('Personnel Yr 1'!B24),'Personnel Yr 1'!B24=""),""," "),'Personnel Yr 1'!C24, " ",'Personnel Yr 1'!D24,IF(OR(ISBLANK('Personnel Yr 1'!D24),'Personnel Yr 1'!D24=""),""," "),'Personnel Yr 1'!E24," ",'Personnel Yr 1'!F24)</f>
        <v xml:space="preserve">  </v>
      </c>
      <c r="B299" s="694"/>
      <c r="C299" s="90"/>
      <c r="D299" s="91"/>
      <c r="E299" s="91"/>
      <c r="F299" s="91"/>
      <c r="G299" s="91"/>
      <c r="H299" s="91"/>
      <c r="I299" s="89"/>
    </row>
    <row r="300" spans="1:9" x14ac:dyDescent="0.2">
      <c r="A300" s="86" t="str">
        <f>IF(ISBLANK('Personnel Yr 1'!G24),"",'Personnel Yr 1'!G24)</f>
        <v/>
      </c>
      <c r="B300" s="84" t="s">
        <v>126</v>
      </c>
      <c r="C300" s="84"/>
      <c r="D300" s="85">
        <f>SUM('Personnel Yr 1'!L24)</f>
        <v>0</v>
      </c>
      <c r="E300" s="85">
        <f>SUM('Personnel Yr 2'!L24)</f>
        <v>0</v>
      </c>
      <c r="F300" s="85">
        <f>SUM('Personnel Yr 3'!L24)</f>
        <v>0</v>
      </c>
      <c r="G300" s="85">
        <f>SUM('Personnel Yr 4'!L24)</f>
        <v>0</v>
      </c>
      <c r="H300" s="85">
        <f>SUM('Personnel Yr 5'!L24)</f>
        <v>0</v>
      </c>
      <c r="I300" s="85">
        <f>SUM(D300:H300)</f>
        <v>0</v>
      </c>
    </row>
    <row r="301" spans="1:9" x14ac:dyDescent="0.2">
      <c r="A301" s="86"/>
      <c r="B301" s="180" t="s">
        <v>127</v>
      </c>
      <c r="C301" s="180"/>
      <c r="D301" s="174">
        <f>D300/3.5</f>
        <v>0</v>
      </c>
      <c r="E301" s="174">
        <f>E300/3.5</f>
        <v>0</v>
      </c>
      <c r="F301" s="174">
        <f>F300/3.5</f>
        <v>0</v>
      </c>
      <c r="G301" s="174">
        <f>G300/3.5</f>
        <v>0</v>
      </c>
      <c r="H301" s="174">
        <f>H300/3.5</f>
        <v>0</v>
      </c>
      <c r="I301" s="178"/>
    </row>
    <row r="302" spans="1:9" x14ac:dyDescent="0.2">
      <c r="A302" s="87"/>
      <c r="B302" s="88" t="s">
        <v>128</v>
      </c>
      <c r="C302" s="88"/>
      <c r="D302" s="85">
        <f>SUM('Personnel Yr 1'!K24)</f>
        <v>0</v>
      </c>
      <c r="E302" s="85">
        <f>SUM('Personnel Yr 2'!K24)</f>
        <v>0</v>
      </c>
      <c r="F302" s="85">
        <f>SUM('Personnel Yr 3'!K24)</f>
        <v>0</v>
      </c>
      <c r="G302" s="85">
        <f>SUM('Personnel Yr 4'!K24)</f>
        <v>0</v>
      </c>
      <c r="H302" s="85">
        <f>SUM('Personnel Yr 5'!K24)</f>
        <v>0</v>
      </c>
      <c r="I302" s="85">
        <f>SUM(D302:H302)</f>
        <v>0</v>
      </c>
    </row>
    <row r="303" spans="1:9" x14ac:dyDescent="0.2">
      <c r="A303" s="87"/>
      <c r="B303" s="176" t="s">
        <v>129</v>
      </c>
      <c r="C303" s="176"/>
      <c r="D303" s="177">
        <f>D302/8.5</f>
        <v>0</v>
      </c>
      <c r="E303" s="177">
        <f>E302/8.5</f>
        <v>0</v>
      </c>
      <c r="F303" s="177">
        <f>F302/8.5</f>
        <v>0</v>
      </c>
      <c r="G303" s="177">
        <f>G302/8.5</f>
        <v>0</v>
      </c>
      <c r="H303" s="177">
        <f>H302/8.5</f>
        <v>0</v>
      </c>
      <c r="I303" s="178"/>
    </row>
    <row r="304" spans="1:9" x14ac:dyDescent="0.2">
      <c r="A304" s="87"/>
      <c r="B304" s="88" t="s">
        <v>130</v>
      </c>
      <c r="C304" s="88"/>
      <c r="D304" s="85">
        <f>SUM('Personnel Yr 1'!J24)</f>
        <v>0</v>
      </c>
      <c r="E304" s="85">
        <f>SUM('Personnel Yr 2'!J24)</f>
        <v>0</v>
      </c>
      <c r="F304" s="85">
        <f>SUM('Personnel Yr 3'!J24)</f>
        <v>0</v>
      </c>
      <c r="G304" s="85">
        <f>SUM('Personnel Yr 4'!J24)</f>
        <v>0</v>
      </c>
      <c r="H304" s="85">
        <f>SUM('Personnel Yr 5'!J24)</f>
        <v>0</v>
      </c>
      <c r="I304" s="85">
        <f>SUM(D304:H304)</f>
        <v>0</v>
      </c>
    </row>
    <row r="305" spans="1:9" x14ac:dyDescent="0.2">
      <c r="A305" s="146"/>
      <c r="B305" s="176" t="s">
        <v>131</v>
      </c>
      <c r="C305" s="176"/>
      <c r="D305" s="177">
        <f>D304/12</f>
        <v>0</v>
      </c>
      <c r="E305" s="177">
        <f>E304/12</f>
        <v>0</v>
      </c>
      <c r="F305" s="177">
        <f>F304/12</f>
        <v>0</v>
      </c>
      <c r="G305" s="177">
        <f>G304/12</f>
        <v>0</v>
      </c>
      <c r="H305" s="177">
        <f>H304/12</f>
        <v>0</v>
      </c>
      <c r="I305" s="179"/>
    </row>
    <row r="306" spans="1:9" x14ac:dyDescent="0.2">
      <c r="A306" s="696" t="str">
        <f>CONCATENATE('Personnel Yr 1'!B25, IF(OR(ISBLANK('Personnel Yr 1'!B25),'Personnel Yr 1'!B25=""),""," "),'Personnel Yr 1'!C25, " ",'Personnel Yr 1'!D25,IF(OR(ISBLANK('Personnel Yr 1'!D25),'Personnel Yr 1'!D25=""),""," "),'Personnel Yr 1'!E25," ",'Personnel Yr 1'!F25)</f>
        <v xml:space="preserve">  </v>
      </c>
      <c r="B306" s="695"/>
      <c r="C306" s="90"/>
      <c r="D306" s="91"/>
      <c r="E306" s="91"/>
      <c r="F306" s="91"/>
      <c r="G306" s="91"/>
      <c r="H306" s="91"/>
      <c r="I306" s="89"/>
    </row>
    <row r="307" spans="1:9" x14ac:dyDescent="0.2">
      <c r="A307" s="83" t="str">
        <f>IF(ISBLANK('Personnel Yr 1'!G25),"",'Personnel Yr 1'!G25)</f>
        <v/>
      </c>
      <c r="B307" s="84" t="s">
        <v>126</v>
      </c>
      <c r="C307" s="84"/>
      <c r="D307" s="85">
        <f>SUM('Personnel Yr 1'!L25)</f>
        <v>0</v>
      </c>
      <c r="E307" s="85">
        <f>SUM('Personnel Yr 2'!L25)</f>
        <v>0</v>
      </c>
      <c r="F307" s="85">
        <f>SUM('Personnel Yr 3'!L25)</f>
        <v>0</v>
      </c>
      <c r="G307" s="85">
        <f>SUM('Personnel Yr 4'!L25)</f>
        <v>0</v>
      </c>
      <c r="H307" s="85">
        <f>SUM('Personnel Yr 5'!L25)</f>
        <v>0</v>
      </c>
      <c r="I307" s="85">
        <f>SUM(D307:H307)</f>
        <v>0</v>
      </c>
    </row>
    <row r="308" spans="1:9" x14ac:dyDescent="0.2">
      <c r="A308" s="86"/>
      <c r="B308" s="180" t="s">
        <v>127</v>
      </c>
      <c r="C308" s="180"/>
      <c r="D308" s="174">
        <f>D307/3.5</f>
        <v>0</v>
      </c>
      <c r="E308" s="174">
        <f>E307/3.5</f>
        <v>0</v>
      </c>
      <c r="F308" s="174">
        <f>F307/3.5</f>
        <v>0</v>
      </c>
      <c r="G308" s="174">
        <f>G307/3.5</f>
        <v>0</v>
      </c>
      <c r="H308" s="174">
        <f>H307/3.5</f>
        <v>0</v>
      </c>
      <c r="I308" s="178"/>
    </row>
    <row r="309" spans="1:9" x14ac:dyDescent="0.2">
      <c r="A309" s="87"/>
      <c r="B309" s="88" t="s">
        <v>128</v>
      </c>
      <c r="C309" s="88"/>
      <c r="D309" s="85">
        <f>SUM('Personnel Yr 1'!K25)</f>
        <v>0</v>
      </c>
      <c r="E309" s="85">
        <f>SUM('Personnel Yr 2'!K25)</f>
        <v>0</v>
      </c>
      <c r="F309" s="85">
        <f>SUM('Personnel Yr 3'!K25)</f>
        <v>0</v>
      </c>
      <c r="G309" s="85">
        <f>SUM('Personnel Yr 4'!K25)</f>
        <v>0</v>
      </c>
      <c r="H309" s="85">
        <f>SUM('Personnel Yr 5'!K25)</f>
        <v>0</v>
      </c>
      <c r="I309" s="85">
        <f>SUM(D309:H309)</f>
        <v>0</v>
      </c>
    </row>
    <row r="310" spans="1:9" x14ac:dyDescent="0.2">
      <c r="A310" s="87"/>
      <c r="B310" s="176" t="s">
        <v>129</v>
      </c>
      <c r="C310" s="176"/>
      <c r="D310" s="177">
        <f>D309/8.5</f>
        <v>0</v>
      </c>
      <c r="E310" s="177">
        <f>E309/8.5</f>
        <v>0</v>
      </c>
      <c r="F310" s="177">
        <f>F309/8.5</f>
        <v>0</v>
      </c>
      <c r="G310" s="177">
        <f>G309/8.5</f>
        <v>0</v>
      </c>
      <c r="H310" s="177">
        <f>H309/8.5</f>
        <v>0</v>
      </c>
      <c r="I310" s="178"/>
    </row>
    <row r="311" spans="1:9" x14ac:dyDescent="0.2">
      <c r="A311" s="87"/>
      <c r="B311" s="88" t="s">
        <v>130</v>
      </c>
      <c r="C311" s="88"/>
      <c r="D311" s="85">
        <f>SUM('Personnel Yr 1'!J25)</f>
        <v>0</v>
      </c>
      <c r="E311" s="85">
        <f>SUM('Personnel Yr 2'!J25)</f>
        <v>0</v>
      </c>
      <c r="F311" s="85">
        <f>SUM('Personnel Yr 3'!J25)</f>
        <v>0</v>
      </c>
      <c r="G311" s="85">
        <f>SUM('Personnel Yr 4'!J25)</f>
        <v>0</v>
      </c>
      <c r="H311" s="85">
        <f>SUM('Personnel Yr 5'!J25)</f>
        <v>0</v>
      </c>
      <c r="I311" s="85">
        <f>SUM(D311:H311)</f>
        <v>0</v>
      </c>
    </row>
    <row r="312" spans="1:9" x14ac:dyDescent="0.2">
      <c r="A312" s="146"/>
      <c r="B312" s="176" t="s">
        <v>131</v>
      </c>
      <c r="C312" s="176"/>
      <c r="D312" s="177">
        <f>D311/12</f>
        <v>0</v>
      </c>
      <c r="E312" s="177">
        <f>E311/12</f>
        <v>0</v>
      </c>
      <c r="F312" s="177">
        <f>F311/12</f>
        <v>0</v>
      </c>
      <c r="G312" s="177">
        <f>G311/12</f>
        <v>0</v>
      </c>
      <c r="H312" s="177">
        <f>H311/12</f>
        <v>0</v>
      </c>
      <c r="I312" s="181"/>
    </row>
    <row r="313" spans="1:9" x14ac:dyDescent="0.2">
      <c r="A313" s="696" t="str">
        <f>CONCATENATE('Personnel Yr 1'!B26, IF(OR(ISBLANK('Personnel Yr 1'!B26),'Personnel Yr 1'!B26=""),""," "),'Personnel Yr 1'!C26, " ",'Personnel Yr 1'!D26,IF(OR(ISBLANK('Personnel Yr 1'!D26),'Personnel Yr 1'!D26=""),""," "),'Personnel Yr 1'!E26," ",'Personnel Yr 1'!F26)</f>
        <v xml:space="preserve">  </v>
      </c>
      <c r="B313" s="695"/>
      <c r="C313" s="90"/>
      <c r="D313" s="93"/>
      <c r="E313" s="93"/>
      <c r="F313" s="93"/>
      <c r="G313" s="93"/>
      <c r="H313" s="145"/>
      <c r="I313" s="144"/>
    </row>
    <row r="314" spans="1:9" x14ac:dyDescent="0.2">
      <c r="A314" s="83" t="str">
        <f>IF(ISBLANK('Personnel Yr 1'!G26),"",'Personnel Yr 1'!G26)</f>
        <v/>
      </c>
      <c r="B314" s="84" t="s">
        <v>126</v>
      </c>
      <c r="C314" s="84"/>
      <c r="D314" s="85">
        <f>SUM('Personnel Yr 1'!L26)</f>
        <v>0</v>
      </c>
      <c r="E314" s="85">
        <f>SUM('Personnel Yr 2'!L26)</f>
        <v>0</v>
      </c>
      <c r="F314" s="85">
        <f>SUM('Personnel Yr 3'!L26)</f>
        <v>0</v>
      </c>
      <c r="G314" s="85">
        <f>SUM('Personnel Yr 4'!L26)</f>
        <v>0</v>
      </c>
      <c r="H314" s="85">
        <f>SUM('Personnel Yr 5'!L26)</f>
        <v>0</v>
      </c>
      <c r="I314" s="85">
        <f>SUM(D314:H314)</f>
        <v>0</v>
      </c>
    </row>
    <row r="315" spans="1:9" x14ac:dyDescent="0.2">
      <c r="A315" s="86"/>
      <c r="B315" s="180" t="s">
        <v>127</v>
      </c>
      <c r="C315" s="180"/>
      <c r="D315" s="174">
        <f>D314/3.5</f>
        <v>0</v>
      </c>
      <c r="E315" s="174">
        <f>E314/3.5</f>
        <v>0</v>
      </c>
      <c r="F315" s="174">
        <f>F314/3.5</f>
        <v>0</v>
      </c>
      <c r="G315" s="174">
        <f>G314/3.5</f>
        <v>0</v>
      </c>
      <c r="H315" s="174">
        <f>H314/3.5</f>
        <v>0</v>
      </c>
      <c r="I315" s="178"/>
    </row>
    <row r="316" spans="1:9" x14ac:dyDescent="0.2">
      <c r="A316" s="87"/>
      <c r="B316" s="88" t="s">
        <v>128</v>
      </c>
      <c r="C316" s="88"/>
      <c r="D316" s="85">
        <f>SUM('Personnel Yr 1'!K26)</f>
        <v>0</v>
      </c>
      <c r="E316" s="85">
        <f>SUM('Personnel Yr 2'!K26)</f>
        <v>0</v>
      </c>
      <c r="F316" s="85">
        <f>SUM('Personnel Yr 3'!K26)</f>
        <v>0</v>
      </c>
      <c r="G316" s="85">
        <f>SUM('Personnel Yr 4'!K26)</f>
        <v>0</v>
      </c>
      <c r="H316" s="85">
        <f>SUM('Personnel Yr 5'!K26)</f>
        <v>0</v>
      </c>
      <c r="I316" s="85">
        <f>SUM(D316:H316)</f>
        <v>0</v>
      </c>
    </row>
    <row r="317" spans="1:9" x14ac:dyDescent="0.2">
      <c r="A317" s="87"/>
      <c r="B317" s="176" t="s">
        <v>129</v>
      </c>
      <c r="C317" s="176"/>
      <c r="D317" s="177">
        <f>D316/8.5</f>
        <v>0</v>
      </c>
      <c r="E317" s="177">
        <f>E316/8.5</f>
        <v>0</v>
      </c>
      <c r="F317" s="177">
        <f>F316/8.5</f>
        <v>0</v>
      </c>
      <c r="G317" s="177">
        <f>G316/8.5</f>
        <v>0</v>
      </c>
      <c r="H317" s="177">
        <f>H316/8.5</f>
        <v>0</v>
      </c>
      <c r="I317" s="178"/>
    </row>
    <row r="318" spans="1:9" x14ac:dyDescent="0.2">
      <c r="A318" s="87"/>
      <c r="B318" s="88" t="s">
        <v>130</v>
      </c>
      <c r="C318" s="88"/>
      <c r="D318" s="85">
        <f>SUM('Personnel Yr 1'!J26)</f>
        <v>0</v>
      </c>
      <c r="E318" s="85">
        <f>SUM('Personnel Yr 2'!J26)</f>
        <v>0</v>
      </c>
      <c r="F318" s="85">
        <f>SUM('Personnel Yr 3'!J26)</f>
        <v>0</v>
      </c>
      <c r="G318" s="85">
        <f>SUM('Personnel Yr 4'!J26)</f>
        <v>0</v>
      </c>
      <c r="H318" s="85">
        <f>SUM('Personnel Yr 5'!J26)</f>
        <v>0</v>
      </c>
      <c r="I318" s="85">
        <f>SUM(D318:H318)</f>
        <v>0</v>
      </c>
    </row>
    <row r="319" spans="1:9" x14ac:dyDescent="0.2">
      <c r="A319" s="146"/>
      <c r="B319" s="176" t="s">
        <v>131</v>
      </c>
      <c r="C319" s="176"/>
      <c r="D319" s="177">
        <f>D318/12</f>
        <v>0</v>
      </c>
      <c r="E319" s="177">
        <f>E318/12</f>
        <v>0</v>
      </c>
      <c r="F319" s="177">
        <f>F318/12</f>
        <v>0</v>
      </c>
      <c r="G319" s="177">
        <f>G318/12</f>
        <v>0</v>
      </c>
      <c r="H319" s="177">
        <f>H318/12</f>
        <v>0</v>
      </c>
      <c r="I319" s="179"/>
    </row>
    <row r="320" spans="1:9" x14ac:dyDescent="0.2">
      <c r="A320" s="696" t="str">
        <f>CONCATENATE('Personnel Yr 1'!B27, IF(OR(ISBLANK('Personnel Yr 1'!B27),'Personnel Yr 1'!B27=""),""," "),'Personnel Yr 1'!C27, " ",'Personnel Yr 1'!D27,IF(OR(ISBLANK('Personnel Yr 1'!D27),'Personnel Yr 1'!D27=""),""," "),'Personnel Yr 1'!E27," ",'Personnel Yr 1'!F27)</f>
        <v xml:space="preserve">  </v>
      </c>
      <c r="B320" s="695"/>
      <c r="C320" s="90"/>
      <c r="D320" s="91"/>
      <c r="E320" s="91"/>
      <c r="F320" s="91"/>
      <c r="G320" s="91"/>
      <c r="H320" s="91"/>
      <c r="I320" s="89"/>
    </row>
    <row r="321" spans="1:9" x14ac:dyDescent="0.2">
      <c r="A321" s="83" t="str">
        <f>IF(ISBLANK('Personnel Yr 1'!G27),"",'Personnel Yr 1'!G27)</f>
        <v/>
      </c>
      <c r="B321" s="84" t="s">
        <v>126</v>
      </c>
      <c r="C321" s="84"/>
      <c r="D321" s="85">
        <f>SUM('Personnel Yr 1'!L27)</f>
        <v>0</v>
      </c>
      <c r="E321" s="85">
        <f>SUM('Personnel Yr 2'!L27)</f>
        <v>0</v>
      </c>
      <c r="F321" s="85">
        <f>SUM('Personnel Yr 3'!L27)</f>
        <v>0</v>
      </c>
      <c r="G321" s="85">
        <f>SUM('Personnel Yr 4'!L27)</f>
        <v>0</v>
      </c>
      <c r="H321" s="85">
        <f>SUM('Personnel Yr 5'!L27)</f>
        <v>0</v>
      </c>
      <c r="I321" s="85">
        <f>SUM(D321:H321)</f>
        <v>0</v>
      </c>
    </row>
    <row r="322" spans="1:9" x14ac:dyDescent="0.2">
      <c r="A322" s="86"/>
      <c r="B322" s="180" t="s">
        <v>127</v>
      </c>
      <c r="C322" s="180"/>
      <c r="D322" s="174">
        <f>D321/3.5</f>
        <v>0</v>
      </c>
      <c r="E322" s="174">
        <f>E321/3.5</f>
        <v>0</v>
      </c>
      <c r="F322" s="174">
        <f>F321/3.5</f>
        <v>0</v>
      </c>
      <c r="G322" s="174">
        <f>G321/3.5</f>
        <v>0</v>
      </c>
      <c r="H322" s="174">
        <f>H321/3.5</f>
        <v>0</v>
      </c>
      <c r="I322" s="178"/>
    </row>
    <row r="323" spans="1:9" x14ac:dyDescent="0.2">
      <c r="A323" s="87"/>
      <c r="B323" s="88" t="s">
        <v>128</v>
      </c>
      <c r="C323" s="88"/>
      <c r="D323" s="85">
        <f>SUM('Personnel Yr 1'!K27)</f>
        <v>0</v>
      </c>
      <c r="E323" s="85">
        <f>SUM('Personnel Yr 2'!K27)</f>
        <v>0</v>
      </c>
      <c r="F323" s="85">
        <f>SUM('Personnel Yr 3'!K27)</f>
        <v>0</v>
      </c>
      <c r="G323" s="85">
        <f>SUM('Personnel Yr 4'!K27)</f>
        <v>0</v>
      </c>
      <c r="H323" s="85">
        <f>SUM('Personnel Yr 5'!K27)</f>
        <v>0</v>
      </c>
      <c r="I323" s="85">
        <f>SUM(D323:H323)</f>
        <v>0</v>
      </c>
    </row>
    <row r="324" spans="1:9" x14ac:dyDescent="0.2">
      <c r="A324" s="87"/>
      <c r="B324" s="176" t="s">
        <v>129</v>
      </c>
      <c r="C324" s="176"/>
      <c r="D324" s="177">
        <f>D323/8.5</f>
        <v>0</v>
      </c>
      <c r="E324" s="177">
        <f>E323/8.5</f>
        <v>0</v>
      </c>
      <c r="F324" s="177">
        <f>F323/8.5</f>
        <v>0</v>
      </c>
      <c r="G324" s="177">
        <f>G323/8.5</f>
        <v>0</v>
      </c>
      <c r="H324" s="177">
        <f>H323/8.5</f>
        <v>0</v>
      </c>
      <c r="I324" s="178"/>
    </row>
    <row r="325" spans="1:9" x14ac:dyDescent="0.2">
      <c r="A325" s="87"/>
      <c r="B325" s="88" t="s">
        <v>130</v>
      </c>
      <c r="C325" s="88"/>
      <c r="D325" s="85">
        <f>SUM('Personnel Yr 1'!J27)</f>
        <v>0</v>
      </c>
      <c r="E325" s="85">
        <f>SUM('Personnel Yr 2'!J27)</f>
        <v>0</v>
      </c>
      <c r="F325" s="85">
        <f>SUM('Personnel Yr 3'!J27)</f>
        <v>0</v>
      </c>
      <c r="G325" s="85">
        <f>SUM('Personnel Yr 4'!J27)</f>
        <v>0</v>
      </c>
      <c r="H325" s="85">
        <f>SUM('Personnel Yr 5'!J27)</f>
        <v>0</v>
      </c>
      <c r="I325" s="85">
        <f>SUM(D325:H325)</f>
        <v>0</v>
      </c>
    </row>
    <row r="326" spans="1:9" x14ac:dyDescent="0.2">
      <c r="A326" s="146"/>
      <c r="B326" s="176" t="s">
        <v>131</v>
      </c>
      <c r="C326" s="176"/>
      <c r="D326" s="177">
        <f>D325/12</f>
        <v>0</v>
      </c>
      <c r="E326" s="177">
        <f>E325/12</f>
        <v>0</v>
      </c>
      <c r="F326" s="177">
        <f>F325/12</f>
        <v>0</v>
      </c>
      <c r="G326" s="177">
        <f>G325/12</f>
        <v>0</v>
      </c>
      <c r="H326" s="177">
        <f>H325/12</f>
        <v>0</v>
      </c>
      <c r="I326" s="179"/>
    </row>
    <row r="327" spans="1:9" ht="15" x14ac:dyDescent="0.25">
      <c r="A327" s="761" t="s">
        <v>237</v>
      </c>
      <c r="B327" s="761"/>
      <c r="C327" s="761"/>
      <c r="D327" s="761"/>
      <c r="E327" s="64"/>
      <c r="F327" s="64"/>
      <c r="G327" s="64"/>
      <c r="H327" s="64"/>
      <c r="I327" s="64"/>
    </row>
    <row r="328" spans="1:9" x14ac:dyDescent="0.2">
      <c r="A328" s="760" t="str">
        <f>CONCATENATE('Personnel Yr 1'!B28, IF(OR(ISBLANK('Personnel Yr 1'!B28),'Personnel Yr 1'!B28=""),""," "),'Personnel Yr 1'!C28, " ",'Personnel Yr 1'!D28,IF(OR(ISBLANK('Personnel Yr 1'!D28),'Personnel Yr 1'!D28=""),""," "),'Personnel Yr 1'!E28," ",'Personnel Yr 1'!F28)</f>
        <v xml:space="preserve">  </v>
      </c>
      <c r="B328" s="760"/>
      <c r="C328" s="63" t="s">
        <v>119</v>
      </c>
      <c r="D328" s="82" t="s">
        <v>32</v>
      </c>
      <c r="E328" s="82" t="s">
        <v>33</v>
      </c>
      <c r="F328" s="82" t="s">
        <v>34</v>
      </c>
      <c r="G328" s="82" t="s">
        <v>35</v>
      </c>
      <c r="H328" s="82" t="s">
        <v>36</v>
      </c>
      <c r="I328" s="82" t="s">
        <v>37</v>
      </c>
    </row>
    <row r="329" spans="1:9" x14ac:dyDescent="0.2">
      <c r="A329" s="83" t="str">
        <f>IF(ISBLANK('Personnel Yr 1'!G28),"",'Personnel Yr 1'!G28)</f>
        <v/>
      </c>
      <c r="B329" s="84" t="s">
        <v>126</v>
      </c>
      <c r="C329" s="84"/>
      <c r="D329" s="85">
        <f>SUM('Personnel Yr 1'!L28)</f>
        <v>0</v>
      </c>
      <c r="E329" s="85">
        <f>SUM('Personnel Yr 2'!L28)</f>
        <v>0</v>
      </c>
      <c r="F329" s="85">
        <f>SUM('Personnel Yr 3'!L28)</f>
        <v>0</v>
      </c>
      <c r="G329" s="85">
        <f>SUM('Personnel Yr 4'!L28)</f>
        <v>0</v>
      </c>
      <c r="H329" s="85">
        <f>SUM('Personnel Yr 5'!L28)</f>
        <v>0</v>
      </c>
      <c r="I329" s="85">
        <f>SUM(D329:H329)</f>
        <v>0</v>
      </c>
    </row>
    <row r="330" spans="1:9" x14ac:dyDescent="0.2">
      <c r="A330" s="86"/>
      <c r="B330" s="180" t="s">
        <v>127</v>
      </c>
      <c r="C330" s="180"/>
      <c r="D330" s="174">
        <f>D329/3.5</f>
        <v>0</v>
      </c>
      <c r="E330" s="174">
        <f>E329/3.5</f>
        <v>0</v>
      </c>
      <c r="F330" s="174">
        <f>F329/3.5</f>
        <v>0</v>
      </c>
      <c r="G330" s="174">
        <f>G329/3.5</f>
        <v>0</v>
      </c>
      <c r="H330" s="174">
        <f>H329/3.5</f>
        <v>0</v>
      </c>
      <c r="I330" s="178"/>
    </row>
    <row r="331" spans="1:9" x14ac:dyDescent="0.2">
      <c r="A331" s="87"/>
      <c r="B331" s="88" t="s">
        <v>128</v>
      </c>
      <c r="C331" s="88"/>
      <c r="D331" s="85">
        <f>SUM('Personnel Yr 1'!K28)</f>
        <v>0</v>
      </c>
      <c r="E331" s="85">
        <f>SUM('Personnel Yr 2'!K28)</f>
        <v>0</v>
      </c>
      <c r="F331" s="85">
        <f>SUM('Personnel Yr 3'!K28)</f>
        <v>0</v>
      </c>
      <c r="G331" s="85">
        <f>SUM('Personnel Yr 4'!K28)</f>
        <v>0</v>
      </c>
      <c r="H331" s="85">
        <f>SUM('Personnel Yr 5'!K28)</f>
        <v>0</v>
      </c>
      <c r="I331" s="85">
        <f>SUM(D331:H331)</f>
        <v>0</v>
      </c>
    </row>
    <row r="332" spans="1:9" x14ac:dyDescent="0.2">
      <c r="A332" s="87"/>
      <c r="B332" s="176" t="s">
        <v>129</v>
      </c>
      <c r="C332" s="176"/>
      <c r="D332" s="177">
        <f>D331/8.5</f>
        <v>0</v>
      </c>
      <c r="E332" s="177">
        <f>E331/8.5</f>
        <v>0</v>
      </c>
      <c r="F332" s="177">
        <f>F331/8.5</f>
        <v>0</v>
      </c>
      <c r="G332" s="177">
        <f>G331/8.5</f>
        <v>0</v>
      </c>
      <c r="H332" s="177">
        <f>H331/8.5</f>
        <v>0</v>
      </c>
      <c r="I332" s="178"/>
    </row>
    <row r="333" spans="1:9" x14ac:dyDescent="0.2">
      <c r="A333" s="87"/>
      <c r="B333" s="88" t="s">
        <v>130</v>
      </c>
      <c r="C333" s="88"/>
      <c r="D333" s="85">
        <f>SUM('Personnel Yr 1'!J28)</f>
        <v>0</v>
      </c>
      <c r="E333" s="85">
        <f>SUM('Personnel Yr 2'!J28)</f>
        <v>0</v>
      </c>
      <c r="F333" s="85">
        <f>SUM('Personnel Yr 3'!J28)</f>
        <v>0</v>
      </c>
      <c r="G333" s="85">
        <f>SUM('Personnel Yr 4'!J28)</f>
        <v>0</v>
      </c>
      <c r="H333" s="85">
        <f>SUM('Personnel Yr 5'!J28)</f>
        <v>0</v>
      </c>
      <c r="I333" s="85">
        <f>SUM(D333:H333)</f>
        <v>0</v>
      </c>
    </row>
    <row r="334" spans="1:9" x14ac:dyDescent="0.2">
      <c r="A334" s="87"/>
      <c r="B334" s="176" t="s">
        <v>131</v>
      </c>
      <c r="C334" s="176"/>
      <c r="D334" s="177">
        <f>D333/12</f>
        <v>0</v>
      </c>
      <c r="E334" s="177">
        <f>E333/12</f>
        <v>0</v>
      </c>
      <c r="F334" s="177">
        <f>F333/12</f>
        <v>0</v>
      </c>
      <c r="G334" s="177">
        <f>G333/12</f>
        <v>0</v>
      </c>
      <c r="H334" s="177">
        <f>H333/12</f>
        <v>0</v>
      </c>
      <c r="I334" s="179"/>
    </row>
    <row r="335" spans="1:9" x14ac:dyDescent="0.2">
      <c r="A335" s="693" t="str">
        <f>CONCATENATE('Personnel Yr 1'!B29, IF(OR(ISBLANK('Personnel Yr 1'!B29),'Personnel Yr 1'!B29=""),""," "),'Personnel Yr 1'!C29, " ",'Personnel Yr 1'!D29,IF(OR(ISBLANK('Personnel Yr 1'!D29),'Personnel Yr 1'!D29=""),""," "),'Personnel Yr 1'!E29," ",'Personnel Yr 1'!F29)</f>
        <v xml:space="preserve">  </v>
      </c>
      <c r="B335" s="694"/>
      <c r="C335" s="90"/>
      <c r="D335" s="91"/>
      <c r="E335" s="91"/>
      <c r="F335" s="91"/>
      <c r="G335" s="91"/>
      <c r="H335" s="91"/>
      <c r="I335" s="89"/>
    </row>
    <row r="336" spans="1:9" x14ac:dyDescent="0.2">
      <c r="A336" s="86" t="str">
        <f>IF(ISBLANK('Personnel Yr 1'!G29),"",'Personnel Yr 1'!G29)</f>
        <v/>
      </c>
      <c r="B336" s="84" t="s">
        <v>126</v>
      </c>
      <c r="C336" s="84"/>
      <c r="D336" s="85">
        <f>SUM('Personnel Yr 1'!L29)</f>
        <v>0</v>
      </c>
      <c r="E336" s="85">
        <f>SUM('Personnel Yr 2'!L29)</f>
        <v>0</v>
      </c>
      <c r="F336" s="85">
        <f>SUM('Personnel Yr 3'!L29)</f>
        <v>0</v>
      </c>
      <c r="G336" s="85">
        <f>SUM('Personnel Yr 4'!L29)</f>
        <v>0</v>
      </c>
      <c r="H336" s="85">
        <f>SUM('Personnel Yr 5'!L29)</f>
        <v>0</v>
      </c>
      <c r="I336" s="85">
        <f>SUM(D336:H336)</f>
        <v>0</v>
      </c>
    </row>
    <row r="337" spans="1:9" x14ac:dyDescent="0.2">
      <c r="A337" s="86"/>
      <c r="B337" s="180" t="s">
        <v>127</v>
      </c>
      <c r="C337" s="180"/>
      <c r="D337" s="174">
        <f>D336/3.5</f>
        <v>0</v>
      </c>
      <c r="E337" s="174">
        <f>E336/3.5</f>
        <v>0</v>
      </c>
      <c r="F337" s="174">
        <f>F336/3.5</f>
        <v>0</v>
      </c>
      <c r="G337" s="174">
        <f>G336/3.5</f>
        <v>0</v>
      </c>
      <c r="H337" s="174">
        <f>H336/3.5</f>
        <v>0</v>
      </c>
      <c r="I337" s="178"/>
    </row>
    <row r="338" spans="1:9" x14ac:dyDescent="0.2">
      <c r="A338" s="87"/>
      <c r="B338" s="88" t="s">
        <v>128</v>
      </c>
      <c r="C338" s="88"/>
      <c r="D338" s="85">
        <f>SUM('Personnel Yr 1'!K29)</f>
        <v>0</v>
      </c>
      <c r="E338" s="85">
        <f>SUM('Personnel Yr 2'!K29)</f>
        <v>0</v>
      </c>
      <c r="F338" s="85">
        <f>SUM('Personnel Yr 3'!K29)</f>
        <v>0</v>
      </c>
      <c r="G338" s="85">
        <f>SUM('Personnel Yr 4'!K29)</f>
        <v>0</v>
      </c>
      <c r="H338" s="85">
        <f>SUM('Personnel Yr 5'!K29)</f>
        <v>0</v>
      </c>
      <c r="I338" s="85">
        <f>SUM(D338:H338)</f>
        <v>0</v>
      </c>
    </row>
    <row r="339" spans="1:9" x14ac:dyDescent="0.2">
      <c r="A339" s="87"/>
      <c r="B339" s="176" t="s">
        <v>129</v>
      </c>
      <c r="C339" s="176"/>
      <c r="D339" s="177">
        <f>D338/8.5</f>
        <v>0</v>
      </c>
      <c r="E339" s="177">
        <f>E338/8.5</f>
        <v>0</v>
      </c>
      <c r="F339" s="177">
        <f>F338/8.5</f>
        <v>0</v>
      </c>
      <c r="G339" s="177">
        <f>G338/8.5</f>
        <v>0</v>
      </c>
      <c r="H339" s="177">
        <f>H338/8.5</f>
        <v>0</v>
      </c>
      <c r="I339" s="178"/>
    </row>
    <row r="340" spans="1:9" x14ac:dyDescent="0.2">
      <c r="A340" s="87"/>
      <c r="B340" s="88" t="s">
        <v>130</v>
      </c>
      <c r="C340" s="88"/>
      <c r="D340" s="85">
        <f>SUM('Personnel Yr 1'!J29)</f>
        <v>0</v>
      </c>
      <c r="E340" s="85">
        <f>SUM('Personnel Yr 2'!J29)</f>
        <v>0</v>
      </c>
      <c r="F340" s="85">
        <f>SUM('Personnel Yr 3'!J29)</f>
        <v>0</v>
      </c>
      <c r="G340" s="85">
        <f>SUM('Personnel Yr 4'!J29)</f>
        <v>0</v>
      </c>
      <c r="H340" s="85">
        <f>SUM('Personnel Yr 5'!J29)</f>
        <v>0</v>
      </c>
      <c r="I340" s="85">
        <f>SUM(D340:H340)</f>
        <v>0</v>
      </c>
    </row>
    <row r="341" spans="1:9" x14ac:dyDescent="0.2">
      <c r="A341" s="87"/>
      <c r="B341" s="176" t="s">
        <v>131</v>
      </c>
      <c r="C341" s="176"/>
      <c r="D341" s="177">
        <f>D340/12</f>
        <v>0</v>
      </c>
      <c r="E341" s="177">
        <f>E340/12</f>
        <v>0</v>
      </c>
      <c r="F341" s="177">
        <f>F340/12</f>
        <v>0</v>
      </c>
      <c r="G341" s="177">
        <f>G340/12</f>
        <v>0</v>
      </c>
      <c r="H341" s="177">
        <f>H340/12</f>
        <v>0</v>
      </c>
      <c r="I341" s="179"/>
    </row>
    <row r="342" spans="1:9" x14ac:dyDescent="0.2">
      <c r="A342" s="693" t="str">
        <f>CONCATENATE('Personnel Yr 1'!B30, IF(OR(ISBLANK('Personnel Yr 1'!B30),'Personnel Yr 1'!B30=""),""," "),'Personnel Yr 1'!C30, " ",'Personnel Yr 1'!D30,IF(OR(ISBLANK('Personnel Yr 1'!D30),'Personnel Yr 1'!D30=""),""," "),'Personnel Yr 1'!E30," ",'Personnel Yr 1'!F30)</f>
        <v xml:space="preserve">  </v>
      </c>
      <c r="B342" s="694"/>
      <c r="C342" s="90"/>
      <c r="D342" s="91"/>
      <c r="E342" s="91"/>
      <c r="F342" s="91"/>
      <c r="G342" s="91"/>
      <c r="H342" s="91"/>
      <c r="I342" s="89"/>
    </row>
    <row r="343" spans="1:9" x14ac:dyDescent="0.2">
      <c r="A343" s="86" t="str">
        <f>IF(ISBLANK('Personnel Yr 1'!G30),"",'Personnel Yr 1'!G30)</f>
        <v/>
      </c>
      <c r="B343" s="84" t="s">
        <v>126</v>
      </c>
      <c r="C343" s="84"/>
      <c r="D343" s="85">
        <f>SUM('Personnel Yr 1'!L30)</f>
        <v>0</v>
      </c>
      <c r="E343" s="85">
        <f>SUM('Personnel Yr 2'!L30)</f>
        <v>0</v>
      </c>
      <c r="F343" s="85">
        <f>SUM('Personnel Yr 3'!L30)</f>
        <v>0</v>
      </c>
      <c r="G343" s="85">
        <f>SUM('Personnel Yr 4'!L30)</f>
        <v>0</v>
      </c>
      <c r="H343" s="85">
        <f>SUM('Personnel Yr 5'!L30)</f>
        <v>0</v>
      </c>
      <c r="I343" s="85">
        <f>SUM(D343:H343)</f>
        <v>0</v>
      </c>
    </row>
    <row r="344" spans="1:9" x14ac:dyDescent="0.2">
      <c r="A344" s="86"/>
      <c r="B344" s="180" t="s">
        <v>127</v>
      </c>
      <c r="C344" s="180"/>
      <c r="D344" s="174">
        <f>D343/3.5</f>
        <v>0</v>
      </c>
      <c r="E344" s="174">
        <f>E343/3.5</f>
        <v>0</v>
      </c>
      <c r="F344" s="174">
        <f>F343/3.5</f>
        <v>0</v>
      </c>
      <c r="G344" s="174">
        <f>G343/3.5</f>
        <v>0</v>
      </c>
      <c r="H344" s="174">
        <f>H343/3.5</f>
        <v>0</v>
      </c>
      <c r="I344" s="178"/>
    </row>
    <row r="345" spans="1:9" x14ac:dyDescent="0.2">
      <c r="A345" s="87"/>
      <c r="B345" s="88" t="s">
        <v>128</v>
      </c>
      <c r="C345" s="88"/>
      <c r="D345" s="85">
        <f>SUM('Personnel Yr 1'!K30)</f>
        <v>0</v>
      </c>
      <c r="E345" s="85">
        <f>SUM('Personnel Yr 2'!K30)</f>
        <v>0</v>
      </c>
      <c r="F345" s="85">
        <f>SUM('Personnel Yr 3'!K30)</f>
        <v>0</v>
      </c>
      <c r="G345" s="85">
        <f>SUM('Personnel Yr 4'!K30)</f>
        <v>0</v>
      </c>
      <c r="H345" s="85">
        <f>SUM('Personnel Yr 5'!K30)</f>
        <v>0</v>
      </c>
      <c r="I345" s="85">
        <f>SUM(D345:H345)</f>
        <v>0</v>
      </c>
    </row>
    <row r="346" spans="1:9" x14ac:dyDescent="0.2">
      <c r="A346" s="87"/>
      <c r="B346" s="176" t="s">
        <v>129</v>
      </c>
      <c r="C346" s="176"/>
      <c r="D346" s="177">
        <f>D345/8.5</f>
        <v>0</v>
      </c>
      <c r="E346" s="177">
        <f>E345/8.5</f>
        <v>0</v>
      </c>
      <c r="F346" s="177">
        <f>F345/8.5</f>
        <v>0</v>
      </c>
      <c r="G346" s="177">
        <f>G345/8.5</f>
        <v>0</v>
      </c>
      <c r="H346" s="177">
        <f>H345/8.5</f>
        <v>0</v>
      </c>
      <c r="I346" s="178"/>
    </row>
    <row r="347" spans="1:9" x14ac:dyDescent="0.2">
      <c r="A347" s="87"/>
      <c r="B347" s="88" t="s">
        <v>130</v>
      </c>
      <c r="C347" s="88"/>
      <c r="D347" s="85">
        <f>SUM('Personnel Yr 1'!J31)</f>
        <v>0</v>
      </c>
      <c r="E347" s="85">
        <f>SUM('Personnel Yr 2'!J31)</f>
        <v>0</v>
      </c>
      <c r="F347" s="85">
        <f>SUM('Personnel Yr 3'!J31)</f>
        <v>0</v>
      </c>
      <c r="G347" s="85">
        <f>SUM('Personnel Yr 4'!J31)</f>
        <v>0</v>
      </c>
      <c r="H347" s="85">
        <f>SUM('Personnel Yr 5'!J31)</f>
        <v>0</v>
      </c>
      <c r="I347" s="85">
        <f>SUM(D347:H347)</f>
        <v>0</v>
      </c>
    </row>
    <row r="348" spans="1:9" x14ac:dyDescent="0.2">
      <c r="A348" s="87"/>
      <c r="B348" s="176" t="s">
        <v>131</v>
      </c>
      <c r="C348" s="176"/>
      <c r="D348" s="177">
        <f>D347/12</f>
        <v>0</v>
      </c>
      <c r="E348" s="177">
        <f>E347/12</f>
        <v>0</v>
      </c>
      <c r="F348" s="177">
        <f>F347/12</f>
        <v>0</v>
      </c>
      <c r="G348" s="177">
        <f>G347/12</f>
        <v>0</v>
      </c>
      <c r="H348" s="177">
        <f>H347/12</f>
        <v>0</v>
      </c>
      <c r="I348" s="179"/>
    </row>
    <row r="349" spans="1:9" x14ac:dyDescent="0.2">
      <c r="A349" s="693" t="str">
        <f>CONCATENATE('Personnel Yr 1'!B31, IF(OR(ISBLANK('Personnel Yr 1'!B31),'Personnel Yr 1'!B31=""),""," "),'Personnel Yr 1'!C31, " ",'Personnel Yr 1'!D31,IF(OR(ISBLANK('Personnel Yr 1'!D31),'Personnel Yr 1'!D31=""),""," "),'Personnel Yr 1'!E31," ",'Personnel Yr 1'!F31)</f>
        <v xml:space="preserve">  </v>
      </c>
      <c r="B349" s="694"/>
      <c r="C349" s="90"/>
      <c r="D349" s="91"/>
      <c r="E349" s="91"/>
      <c r="F349" s="91"/>
      <c r="G349" s="91"/>
      <c r="H349" s="91"/>
      <c r="I349" s="89"/>
    </row>
    <row r="350" spans="1:9" x14ac:dyDescent="0.2">
      <c r="A350" s="86" t="str">
        <f>IF(ISBLANK('Personnel Yr 1'!G31),"",'Personnel Yr 1'!G31)</f>
        <v/>
      </c>
      <c r="B350" s="84" t="s">
        <v>126</v>
      </c>
      <c r="C350" s="84"/>
      <c r="D350" s="85">
        <f>SUM('Personnel Yr 1'!L31)</f>
        <v>0</v>
      </c>
      <c r="E350" s="85">
        <f>SUM('Personnel Yr 2'!L31)</f>
        <v>0</v>
      </c>
      <c r="F350" s="85">
        <f>SUM('Personnel Yr 3'!L31)</f>
        <v>0</v>
      </c>
      <c r="G350" s="85">
        <f>SUM('Personnel Yr 4'!L31)</f>
        <v>0</v>
      </c>
      <c r="H350" s="85">
        <f>SUM('Personnel Yr 5'!L31)</f>
        <v>0</v>
      </c>
      <c r="I350" s="85">
        <f>SUM(D350:H350)</f>
        <v>0</v>
      </c>
    </row>
    <row r="351" spans="1:9" x14ac:dyDescent="0.2">
      <c r="A351" s="86"/>
      <c r="B351" s="180" t="s">
        <v>127</v>
      </c>
      <c r="C351" s="180"/>
      <c r="D351" s="174">
        <f>D350/3.5</f>
        <v>0</v>
      </c>
      <c r="E351" s="174">
        <f>E350/3.5</f>
        <v>0</v>
      </c>
      <c r="F351" s="174">
        <f>F350/3.5</f>
        <v>0</v>
      </c>
      <c r="G351" s="174">
        <f>G350/3.5</f>
        <v>0</v>
      </c>
      <c r="H351" s="174">
        <f>H350/3.5</f>
        <v>0</v>
      </c>
      <c r="I351" s="178"/>
    </row>
    <row r="352" spans="1:9" x14ac:dyDescent="0.2">
      <c r="A352" s="87"/>
      <c r="B352" s="88" t="s">
        <v>128</v>
      </c>
      <c r="C352" s="88"/>
      <c r="D352" s="85">
        <f>SUM('Personnel Yr 1'!K31)</f>
        <v>0</v>
      </c>
      <c r="E352" s="85">
        <f>SUM('Personnel Yr 2'!K31)</f>
        <v>0</v>
      </c>
      <c r="F352" s="85">
        <f>SUM('Personnel Yr 3'!K31)</f>
        <v>0</v>
      </c>
      <c r="G352" s="85">
        <f>SUM('Personnel Yr 4'!K31)</f>
        <v>0</v>
      </c>
      <c r="H352" s="85">
        <f>SUM('Personnel Yr 5'!K31)</f>
        <v>0</v>
      </c>
      <c r="I352" s="85">
        <f>SUM(D352:H352)</f>
        <v>0</v>
      </c>
    </row>
    <row r="353" spans="1:9" x14ac:dyDescent="0.2">
      <c r="A353" s="87"/>
      <c r="B353" s="176" t="s">
        <v>129</v>
      </c>
      <c r="C353" s="176"/>
      <c r="D353" s="177">
        <f>D352/8.5</f>
        <v>0</v>
      </c>
      <c r="E353" s="177">
        <f>E352/8.5</f>
        <v>0</v>
      </c>
      <c r="F353" s="177">
        <f>F352/8.5</f>
        <v>0</v>
      </c>
      <c r="G353" s="177">
        <f>G352/8.5</f>
        <v>0</v>
      </c>
      <c r="H353" s="177">
        <f>H352/8.5</f>
        <v>0</v>
      </c>
      <c r="I353" s="178"/>
    </row>
    <row r="354" spans="1:9" x14ac:dyDescent="0.2">
      <c r="A354" s="87"/>
      <c r="B354" s="88" t="s">
        <v>130</v>
      </c>
      <c r="C354" s="88"/>
      <c r="D354" s="85">
        <f>SUM('Personnel Yr 1'!J31)</f>
        <v>0</v>
      </c>
      <c r="E354" s="85">
        <f>SUM('Personnel Yr 2'!J31)</f>
        <v>0</v>
      </c>
      <c r="F354" s="85">
        <f>SUM('Personnel Yr 3'!J31)</f>
        <v>0</v>
      </c>
      <c r="G354" s="85">
        <f>SUM('Personnel Yr 4'!J31)</f>
        <v>0</v>
      </c>
      <c r="H354" s="85">
        <f>SUM('Personnel Yr 5'!J31)</f>
        <v>0</v>
      </c>
      <c r="I354" s="85">
        <f>SUM(D354:H354)</f>
        <v>0</v>
      </c>
    </row>
    <row r="355" spans="1:9" x14ac:dyDescent="0.2">
      <c r="A355" s="146"/>
      <c r="B355" s="176" t="s">
        <v>131</v>
      </c>
      <c r="C355" s="176"/>
      <c r="D355" s="177">
        <f>D354/12</f>
        <v>0</v>
      </c>
      <c r="E355" s="177">
        <f>E354/12</f>
        <v>0</v>
      </c>
      <c r="F355" s="177">
        <f>F354/12</f>
        <v>0</v>
      </c>
      <c r="G355" s="177">
        <f>G354/12</f>
        <v>0</v>
      </c>
      <c r="H355" s="177">
        <f>H354/12</f>
        <v>0</v>
      </c>
      <c r="I355" s="179"/>
    </row>
    <row r="356" spans="1:9" x14ac:dyDescent="0.2">
      <c r="A356" s="693" t="str">
        <f>CONCATENATE('Personnel Yr 1'!B32, IF(OR(ISBLANK('Personnel Yr 1'!B32),'Personnel Yr 1'!B32=""),""," "),'Personnel Yr 1'!C32, " ",'Personnel Yr 1'!D32,IF(OR(ISBLANK('Personnel Yr 1'!D32),'Personnel Yr 1'!D32=""),""," "),'Personnel Yr 1'!E32," ",'Personnel Yr 1'!F32)</f>
        <v xml:space="preserve">  </v>
      </c>
      <c r="B356" s="694"/>
      <c r="C356" s="90"/>
      <c r="D356" s="91"/>
      <c r="E356" s="91"/>
      <c r="F356" s="91"/>
      <c r="G356" s="91"/>
      <c r="H356" s="91"/>
      <c r="I356" s="89"/>
    </row>
    <row r="357" spans="1:9" x14ac:dyDescent="0.2">
      <c r="A357" s="83" t="str">
        <f>IF(ISBLANK('Personnel Yr 1'!G32),"",'Personnel Yr 1'!G32)</f>
        <v/>
      </c>
      <c r="B357" s="84" t="s">
        <v>126</v>
      </c>
      <c r="C357" s="84"/>
      <c r="D357" s="85">
        <f>SUM('Personnel Yr 1'!L32)</f>
        <v>0</v>
      </c>
      <c r="E357" s="85">
        <f>SUM('Personnel Yr 2'!L32)</f>
        <v>0</v>
      </c>
      <c r="F357" s="85">
        <f>SUM('Personnel Yr 3'!L32)</f>
        <v>0</v>
      </c>
      <c r="G357" s="85">
        <f>SUM('Personnel Yr 4'!L32)</f>
        <v>0</v>
      </c>
      <c r="H357" s="85">
        <f>SUM('Personnel Yr 5'!L32)</f>
        <v>0</v>
      </c>
      <c r="I357" s="85">
        <f>SUM(D357:H357)</f>
        <v>0</v>
      </c>
    </row>
    <row r="358" spans="1:9" x14ac:dyDescent="0.2">
      <c r="A358" s="86"/>
      <c r="B358" s="180" t="s">
        <v>127</v>
      </c>
      <c r="C358" s="180"/>
      <c r="D358" s="174">
        <f>D357/3.5</f>
        <v>0</v>
      </c>
      <c r="E358" s="174">
        <f>E357/3.5</f>
        <v>0</v>
      </c>
      <c r="F358" s="174">
        <f>F357/3.5</f>
        <v>0</v>
      </c>
      <c r="G358" s="174">
        <f>G357/3.5</f>
        <v>0</v>
      </c>
      <c r="H358" s="174">
        <f>H357/3.5</f>
        <v>0</v>
      </c>
      <c r="I358" s="178"/>
    </row>
    <row r="359" spans="1:9" x14ac:dyDescent="0.2">
      <c r="A359" s="87"/>
      <c r="B359" s="88" t="s">
        <v>128</v>
      </c>
      <c r="C359" s="88"/>
      <c r="D359" s="85">
        <f>SUM('Personnel Yr 1'!K32)</f>
        <v>0</v>
      </c>
      <c r="E359" s="85">
        <f>SUM('Personnel Yr 2'!K32)</f>
        <v>0</v>
      </c>
      <c r="F359" s="85">
        <f>SUM('Personnel Yr 3'!K32)</f>
        <v>0</v>
      </c>
      <c r="G359" s="85">
        <f>SUM('Personnel Yr 4'!K32)</f>
        <v>0</v>
      </c>
      <c r="H359" s="85">
        <f>SUM('Personnel Yr 5'!K32)</f>
        <v>0</v>
      </c>
      <c r="I359" s="85">
        <f>SUM(D359:H359)</f>
        <v>0</v>
      </c>
    </row>
    <row r="360" spans="1:9" x14ac:dyDescent="0.2">
      <c r="A360" s="87"/>
      <c r="B360" s="176" t="s">
        <v>129</v>
      </c>
      <c r="C360" s="176"/>
      <c r="D360" s="177">
        <f>D359/8.5</f>
        <v>0</v>
      </c>
      <c r="E360" s="177">
        <f>E359/8.5</f>
        <v>0</v>
      </c>
      <c r="F360" s="177">
        <f>F359/8.5</f>
        <v>0</v>
      </c>
      <c r="G360" s="177">
        <f>G359/8.5</f>
        <v>0</v>
      </c>
      <c r="H360" s="177">
        <f>H359/8.5</f>
        <v>0</v>
      </c>
      <c r="I360" s="178"/>
    </row>
    <row r="361" spans="1:9" x14ac:dyDescent="0.2">
      <c r="A361" s="87"/>
      <c r="B361" s="88" t="s">
        <v>130</v>
      </c>
      <c r="C361" s="88"/>
      <c r="D361" s="85">
        <f>SUM('Personnel Yr 1'!J32)</f>
        <v>0</v>
      </c>
      <c r="E361" s="85">
        <f>SUM('Personnel Yr 2'!J32)</f>
        <v>0</v>
      </c>
      <c r="F361" s="85">
        <f>SUM('Personnel Yr 3'!J32)</f>
        <v>0</v>
      </c>
      <c r="G361" s="85">
        <f>SUM('Personnel Yr 4'!J32)</f>
        <v>0</v>
      </c>
      <c r="H361" s="85">
        <f>SUM('Personnel Yr 5'!J32)</f>
        <v>0</v>
      </c>
      <c r="I361" s="85">
        <f>SUM(D361:H361)</f>
        <v>0</v>
      </c>
    </row>
    <row r="362" spans="1:9" x14ac:dyDescent="0.2">
      <c r="A362" s="146"/>
      <c r="B362" s="176" t="s">
        <v>131</v>
      </c>
      <c r="C362" s="176"/>
      <c r="D362" s="177">
        <f>D361/12</f>
        <v>0</v>
      </c>
      <c r="E362" s="177">
        <f>E361/12</f>
        <v>0</v>
      </c>
      <c r="F362" s="177">
        <f>F361/12</f>
        <v>0</v>
      </c>
      <c r="G362" s="177">
        <f>G361/12</f>
        <v>0</v>
      </c>
      <c r="H362" s="177">
        <f>H361/12</f>
        <v>0</v>
      </c>
      <c r="I362" s="181"/>
    </row>
    <row r="363" spans="1:9" x14ac:dyDescent="0.2">
      <c r="A363" s="693" t="str">
        <f>CONCATENATE('Personnel Yr 1'!B33, IF(OR(ISBLANK('Personnel Yr 1'!B33),'Personnel Yr 1'!B33=""),""," "),'Personnel Yr 1'!C33, " ",'Personnel Yr 1'!D33,IF(OR(ISBLANK('Personnel Yr 1'!D33),'Personnel Yr 1'!D33=""),""," "),'Personnel Yr 1'!E33," ",'Personnel Yr 1'!F33)</f>
        <v xml:space="preserve">  </v>
      </c>
      <c r="B363" s="694"/>
      <c r="C363" s="90"/>
      <c r="D363" s="91"/>
      <c r="E363" s="91"/>
      <c r="F363" s="91"/>
      <c r="G363" s="91"/>
      <c r="H363" s="91"/>
      <c r="I363" s="89"/>
    </row>
    <row r="364" spans="1:9" x14ac:dyDescent="0.2">
      <c r="A364" s="83" t="str">
        <f>IF(ISBLANK('Personnel Yr 1'!G33),"",'Personnel Yr 1'!G33)</f>
        <v/>
      </c>
      <c r="B364" s="84" t="s">
        <v>126</v>
      </c>
      <c r="C364" s="84"/>
      <c r="D364" s="85">
        <f>SUM('Personnel Yr 1'!L33)</f>
        <v>0</v>
      </c>
      <c r="E364" s="85">
        <f>SUM('Personnel Yr 2'!L33)</f>
        <v>0</v>
      </c>
      <c r="F364" s="85">
        <f>SUM('Personnel Yr 3'!L33)</f>
        <v>0</v>
      </c>
      <c r="G364" s="85">
        <f>SUM('Personnel Yr 4'!L33)</f>
        <v>0</v>
      </c>
      <c r="H364" s="85">
        <f>SUM('Personnel Yr 5'!L33)</f>
        <v>0</v>
      </c>
      <c r="I364" s="85">
        <f>SUM(D364:H364)</f>
        <v>0</v>
      </c>
    </row>
    <row r="365" spans="1:9" x14ac:dyDescent="0.2">
      <c r="A365" s="86"/>
      <c r="B365" s="180" t="s">
        <v>127</v>
      </c>
      <c r="C365" s="180"/>
      <c r="D365" s="174">
        <f>D364/3.5</f>
        <v>0</v>
      </c>
      <c r="E365" s="174">
        <f>E364/3.5</f>
        <v>0</v>
      </c>
      <c r="F365" s="174">
        <f>F364/3.5</f>
        <v>0</v>
      </c>
      <c r="G365" s="174">
        <f>G364/3.5</f>
        <v>0</v>
      </c>
      <c r="H365" s="174">
        <f>H364/3.5</f>
        <v>0</v>
      </c>
      <c r="I365" s="178"/>
    </row>
    <row r="366" spans="1:9" x14ac:dyDescent="0.2">
      <c r="A366" s="87"/>
      <c r="B366" s="88" t="s">
        <v>128</v>
      </c>
      <c r="C366" s="88"/>
      <c r="D366" s="85">
        <f>SUM('Personnel Yr 1'!K33)</f>
        <v>0</v>
      </c>
      <c r="E366" s="85">
        <f>SUM('Personnel Yr 2'!K33)</f>
        <v>0</v>
      </c>
      <c r="F366" s="85">
        <f>SUM('Personnel Yr 3'!K33)</f>
        <v>0</v>
      </c>
      <c r="G366" s="85">
        <f>SUM('Personnel Yr 4'!K33)</f>
        <v>0</v>
      </c>
      <c r="H366" s="85">
        <f>SUM('Personnel Yr 5'!K33)</f>
        <v>0</v>
      </c>
      <c r="I366" s="85">
        <f>SUM(D366:H366)</f>
        <v>0</v>
      </c>
    </row>
    <row r="367" spans="1:9" x14ac:dyDescent="0.2">
      <c r="A367" s="87"/>
      <c r="B367" s="176" t="s">
        <v>129</v>
      </c>
      <c r="C367" s="176"/>
      <c r="D367" s="177">
        <f>D366/8.5</f>
        <v>0</v>
      </c>
      <c r="E367" s="177">
        <f>E366/8.5</f>
        <v>0</v>
      </c>
      <c r="F367" s="177">
        <f>F366/8.5</f>
        <v>0</v>
      </c>
      <c r="G367" s="177">
        <f>G366/8.5</f>
        <v>0</v>
      </c>
      <c r="H367" s="177">
        <f>H366/8.5</f>
        <v>0</v>
      </c>
      <c r="I367" s="178"/>
    </row>
    <row r="368" spans="1:9" x14ac:dyDescent="0.2">
      <c r="A368" s="87"/>
      <c r="B368" s="88" t="s">
        <v>130</v>
      </c>
      <c r="C368" s="88"/>
      <c r="D368" s="85">
        <f>SUM('Personnel Yr 1'!J33)</f>
        <v>0</v>
      </c>
      <c r="E368" s="85">
        <f>SUM('Personnel Yr 2'!J33)</f>
        <v>0</v>
      </c>
      <c r="F368" s="85">
        <f>SUM('Personnel Yr 3'!J33)</f>
        <v>0</v>
      </c>
      <c r="G368" s="85">
        <f>SUM('Personnel Yr 4'!J33)</f>
        <v>0</v>
      </c>
      <c r="H368" s="85">
        <f>SUM('Personnel Yr 5'!J33)</f>
        <v>0</v>
      </c>
      <c r="I368" s="85">
        <f>SUM(D368:H368)</f>
        <v>0</v>
      </c>
    </row>
    <row r="369" spans="1:9" x14ac:dyDescent="0.2">
      <c r="A369" s="146"/>
      <c r="B369" s="176" t="s">
        <v>131</v>
      </c>
      <c r="C369" s="176"/>
      <c r="D369" s="177">
        <f>D368/12</f>
        <v>0</v>
      </c>
      <c r="E369" s="177">
        <f>E368/12</f>
        <v>0</v>
      </c>
      <c r="F369" s="177">
        <f>F368/12</f>
        <v>0</v>
      </c>
      <c r="G369" s="177">
        <f>G368/12</f>
        <v>0</v>
      </c>
      <c r="H369" s="177">
        <f>H368/12</f>
        <v>0</v>
      </c>
      <c r="I369" s="181"/>
    </row>
    <row r="370" spans="1:9" x14ac:dyDescent="0.2">
      <c r="A370" s="693" t="str">
        <f>CONCATENATE('Personnel Yr 1'!B34, IF(OR(ISBLANK('Personnel Yr 1'!B34),'Personnel Yr 1'!B34=""),""," "),'Personnel Yr 1'!C34, " ",'Personnel Yr 1'!D34,IF(OR(ISBLANK('Personnel Yr 1'!D34),'Personnel Yr 1'!D34=""),""," "),'Personnel Yr 1'!E34," ",'Personnel Yr 1'!F34)</f>
        <v xml:space="preserve">  </v>
      </c>
      <c r="B370" s="694"/>
      <c r="C370" s="90"/>
      <c r="D370" s="93"/>
      <c r="E370" s="93"/>
      <c r="F370" s="93"/>
      <c r="G370" s="93"/>
      <c r="H370" s="145"/>
      <c r="I370" s="144"/>
    </row>
    <row r="371" spans="1:9" x14ac:dyDescent="0.2">
      <c r="A371" s="83" t="str">
        <f>IF(ISBLANK('Personnel Yr 1'!G34),"",'Personnel Yr 1'!G34)</f>
        <v/>
      </c>
      <c r="B371" s="84" t="s">
        <v>126</v>
      </c>
      <c r="C371" s="84"/>
      <c r="D371" s="85">
        <f>SUM('Personnel Yr 1'!L34)</f>
        <v>0</v>
      </c>
      <c r="E371" s="85">
        <f>SUM('Personnel Yr 2'!L34)</f>
        <v>0</v>
      </c>
      <c r="F371" s="85">
        <f>SUM('Personnel Yr 3'!L34)</f>
        <v>0</v>
      </c>
      <c r="G371" s="85">
        <f>SUM('Personnel Yr 4'!L34)</f>
        <v>0</v>
      </c>
      <c r="H371" s="85">
        <f>SUM('Personnel Yr 5'!L34)</f>
        <v>0</v>
      </c>
      <c r="I371" s="85">
        <f>SUM(D371:H371)</f>
        <v>0</v>
      </c>
    </row>
    <row r="372" spans="1:9" x14ac:dyDescent="0.2">
      <c r="A372" s="86"/>
      <c r="B372" s="180" t="s">
        <v>127</v>
      </c>
      <c r="C372" s="180"/>
      <c r="D372" s="174">
        <f>D371/3.5</f>
        <v>0</v>
      </c>
      <c r="E372" s="174">
        <f>E371/3.5</f>
        <v>0</v>
      </c>
      <c r="F372" s="174">
        <f>F371/3.5</f>
        <v>0</v>
      </c>
      <c r="G372" s="174">
        <f>G371/3.5</f>
        <v>0</v>
      </c>
      <c r="H372" s="174">
        <f>H371/3.5</f>
        <v>0</v>
      </c>
      <c r="I372" s="178"/>
    </row>
    <row r="373" spans="1:9" x14ac:dyDescent="0.2">
      <c r="A373" s="87"/>
      <c r="B373" s="88" t="s">
        <v>128</v>
      </c>
      <c r="C373" s="88"/>
      <c r="D373" s="85">
        <f>SUM('Personnel Yr 1'!K34)</f>
        <v>0</v>
      </c>
      <c r="E373" s="85">
        <f>SUM('Personnel Yr 2'!K34)</f>
        <v>0</v>
      </c>
      <c r="F373" s="85">
        <f>SUM('Personnel Yr 3'!K34)</f>
        <v>0</v>
      </c>
      <c r="G373" s="85">
        <f>SUM('Personnel Yr 4'!K34)</f>
        <v>0</v>
      </c>
      <c r="H373" s="85">
        <f>SUM('Personnel Yr 5'!K34)</f>
        <v>0</v>
      </c>
      <c r="I373" s="85">
        <f>SUM(D373:H373)</f>
        <v>0</v>
      </c>
    </row>
    <row r="374" spans="1:9" x14ac:dyDescent="0.2">
      <c r="A374" s="87"/>
      <c r="B374" s="176" t="s">
        <v>129</v>
      </c>
      <c r="C374" s="176"/>
      <c r="D374" s="177">
        <f>D373/8.5</f>
        <v>0</v>
      </c>
      <c r="E374" s="177">
        <f>E373/8.5</f>
        <v>0</v>
      </c>
      <c r="F374" s="177">
        <f>F373/8.5</f>
        <v>0</v>
      </c>
      <c r="G374" s="177">
        <f>G373/8.5</f>
        <v>0</v>
      </c>
      <c r="H374" s="177">
        <f>H373/8.5</f>
        <v>0</v>
      </c>
      <c r="I374" s="178"/>
    </row>
    <row r="375" spans="1:9" x14ac:dyDescent="0.2">
      <c r="A375" s="87"/>
      <c r="B375" s="88" t="s">
        <v>130</v>
      </c>
      <c r="C375" s="88"/>
      <c r="D375" s="85">
        <f>SUM('Personnel Yr 1'!J34)</f>
        <v>0</v>
      </c>
      <c r="E375" s="85">
        <f>SUM('Personnel Yr 2'!J34)</f>
        <v>0</v>
      </c>
      <c r="F375" s="85">
        <f>SUM('Personnel Yr 3'!J34)</f>
        <v>0</v>
      </c>
      <c r="G375" s="85">
        <f>SUM('Personnel Yr 4'!J34)</f>
        <v>0</v>
      </c>
      <c r="H375" s="85">
        <f>SUM('Personnel Yr 5'!J34)</f>
        <v>0</v>
      </c>
      <c r="I375" s="85">
        <f>SUM(D375:H375)</f>
        <v>0</v>
      </c>
    </row>
    <row r="376" spans="1:9" ht="13.5" thickBot="1" x14ac:dyDescent="0.25">
      <c r="A376" s="92"/>
      <c r="B376" s="182" t="s">
        <v>131</v>
      </c>
      <c r="C376" s="182"/>
      <c r="D376" s="183">
        <f>D375/12</f>
        <v>0</v>
      </c>
      <c r="E376" s="183">
        <f>E375/12</f>
        <v>0</v>
      </c>
      <c r="F376" s="183">
        <f>F375/12</f>
        <v>0</v>
      </c>
      <c r="G376" s="183">
        <f>G375/12</f>
        <v>0</v>
      </c>
      <c r="H376" s="183">
        <f>H375/12</f>
        <v>0</v>
      </c>
      <c r="I376" s="184"/>
    </row>
    <row r="377" spans="1:9" ht="13.5" thickTop="1" x14ac:dyDescent="0.2"/>
    <row r="378" spans="1:9" ht="15" x14ac:dyDescent="0.25">
      <c r="A378" s="709" t="s">
        <v>540</v>
      </c>
      <c r="B378" s="710"/>
      <c r="C378" s="710"/>
      <c r="D378" s="64"/>
      <c r="E378" s="64"/>
      <c r="F378" s="64"/>
      <c r="G378" s="64"/>
      <c r="H378" s="64"/>
      <c r="I378" s="64"/>
    </row>
    <row r="379" spans="1:9" x14ac:dyDescent="0.2">
      <c r="A379" s="695" t="str">
        <f>CONCATENATE('Personnel Yr 1'!B53, IF(OR(ISBLANK('Personnel Yr 1'!B53),'Personnel Yr 1'!B53=""),""," "),'Personnel Yr 1'!C53, " ",'Personnel Yr 1'!D53,IF(OR(ISBLANK('Personnel Yr 1'!D53),'Personnel Yr 1'!D53=""),""," "),'Personnel Yr 1'!E53," ",'Personnel Yr 1'!F53)</f>
        <v xml:space="preserve">  </v>
      </c>
      <c r="B379" s="695"/>
      <c r="C379" s="66" t="s">
        <v>119</v>
      </c>
      <c r="D379" s="82" t="s">
        <v>32</v>
      </c>
      <c r="E379" s="82" t="s">
        <v>33</v>
      </c>
      <c r="F379" s="82" t="s">
        <v>34</v>
      </c>
      <c r="G379" s="82" t="s">
        <v>35</v>
      </c>
      <c r="H379" s="82" t="s">
        <v>36</v>
      </c>
      <c r="I379" s="67" t="s">
        <v>37</v>
      </c>
    </row>
    <row r="380" spans="1:9" x14ac:dyDescent="0.2">
      <c r="A380" s="83" t="str">
        <f>IF(ISBLANK('Personnel Yr 1'!G53),"",'Personnel Yr 1'!G53)</f>
        <v/>
      </c>
      <c r="B380" s="84" t="s">
        <v>539</v>
      </c>
      <c r="C380" s="84"/>
      <c r="D380" s="429">
        <f>SUM('Personnel Yr 1'!O53)</f>
        <v>0</v>
      </c>
      <c r="E380" s="430">
        <f>SUM('Personnel Yr 2'!O53)</f>
        <v>0</v>
      </c>
      <c r="F380" s="430">
        <f>SUM('Personnel Yr 3'!O53)</f>
        <v>0</v>
      </c>
      <c r="G380" s="430">
        <f>SUM('Personnel Yr 4'!O53)</f>
        <v>0</v>
      </c>
      <c r="H380" s="430">
        <f>SUM('Personnel Yr 5'!O53)</f>
        <v>0</v>
      </c>
      <c r="I380" s="430">
        <f>SUM(D380:H380)</f>
        <v>0</v>
      </c>
    </row>
    <row r="381" spans="1:9" x14ac:dyDescent="0.2">
      <c r="A381" s="693" t="str">
        <f>CONCATENATE('Personnel Yr 1'!B54, IF(OR(ISBLANK('Personnel Yr 1'!B54),'Personnel Yr 1'!B54=""),""," "),'Personnel Yr 1'!C54, " ",'Personnel Yr 1'!D54,IF(OR(ISBLANK('Personnel Yr 1'!D54),'Personnel Yr 1'!D54=""),""," "),'Personnel Yr 1'!E54," ",'Personnel Yr 1'!F54)</f>
        <v xml:space="preserve">  </v>
      </c>
      <c r="B381" s="694"/>
      <c r="C381" s="90"/>
      <c r="D381" s="91"/>
      <c r="E381" s="91"/>
      <c r="F381" s="91"/>
      <c r="G381" s="91"/>
      <c r="H381" s="91"/>
      <c r="I381" s="89"/>
    </row>
    <row r="382" spans="1:9" x14ac:dyDescent="0.2">
      <c r="A382" s="83" t="str">
        <f>IF(ISBLANK('Personnel Yr 1'!G54),"",'Personnel Yr 1'!G54)</f>
        <v/>
      </c>
      <c r="B382" s="84" t="s">
        <v>539</v>
      </c>
      <c r="C382" s="84"/>
      <c r="D382" s="430">
        <f>SUM('Personnel Yr 1'!O54)</f>
        <v>0</v>
      </c>
      <c r="E382" s="430">
        <f>SUM('Personnel Yr 2'!O54)</f>
        <v>0</v>
      </c>
      <c r="F382" s="430">
        <f>SUM('Personnel Yr 3'!O54)</f>
        <v>0</v>
      </c>
      <c r="G382" s="430">
        <f>SUM('Personnel Yr 4'!O54)</f>
        <v>0</v>
      </c>
      <c r="H382" s="430">
        <f>SUM('Personnel Yr 5'!O54)</f>
        <v>0</v>
      </c>
      <c r="I382" s="430">
        <f>SUM(D382:H382)</f>
        <v>0</v>
      </c>
    </row>
    <row r="383" spans="1:9" x14ac:dyDescent="0.2">
      <c r="A383" s="693" t="str">
        <f>CONCATENATE('Personnel Yr 1'!B55, IF(OR(ISBLANK('Personnel Yr 1'!B55),'Personnel Yr 1'!B55=""),""," "),'Personnel Yr 1'!C55, " ",'Personnel Yr 1'!D55,IF(OR(ISBLANK('Personnel Yr 1'!D55),'Personnel Yr 1'!D55=""),""," "),'Personnel Yr 1'!E55," ",'Personnel Yr 1'!F55)</f>
        <v xml:space="preserve">  </v>
      </c>
      <c r="B383" s="694"/>
      <c r="C383" s="90"/>
      <c r="D383" s="91"/>
      <c r="E383" s="91"/>
      <c r="F383" s="91"/>
      <c r="G383" s="91"/>
      <c r="H383" s="91"/>
      <c r="I383" s="89"/>
    </row>
    <row r="384" spans="1:9" x14ac:dyDescent="0.2">
      <c r="A384" s="86" t="str">
        <f>IF(ISBLANK('Personnel Yr 1'!G55),"",'Personnel Yr 1'!G55)</f>
        <v/>
      </c>
      <c r="B384" s="84" t="s">
        <v>539</v>
      </c>
      <c r="C384" s="84"/>
      <c r="D384" s="430">
        <f>SUM('Personnel Yr 1'!O55)</f>
        <v>0</v>
      </c>
      <c r="E384" s="430">
        <f>SUM('Personnel Yr 2'!O55)</f>
        <v>0</v>
      </c>
      <c r="F384" s="430">
        <f>SUM('Personnel Yr 3'!O55)</f>
        <v>0</v>
      </c>
      <c r="G384" s="430">
        <f>SUM('Personnel Yr 4'!O55)</f>
        <v>0</v>
      </c>
      <c r="H384" s="430">
        <f>SUM('Personnel Yr 5'!O55)</f>
        <v>0</v>
      </c>
      <c r="I384" s="430">
        <f>SUM(D384:H384)</f>
        <v>0</v>
      </c>
    </row>
    <row r="385" spans="1:9" x14ac:dyDescent="0.2">
      <c r="A385" s="693" t="str">
        <f>CONCATENATE('Personnel Yr 1'!B56, IF(OR(ISBLANK('Personnel Yr 1'!B56),'Personnel Yr 1'!B56=""),""," "),'Personnel Yr 1'!C56, " ",'Personnel Yr 1'!D56,IF(OR(ISBLANK('Personnel Yr 1'!D56),'Personnel Yr 1'!D56=""),""," "),'Personnel Yr 1'!E56," ",'Personnel Yr 1'!F56)</f>
        <v xml:space="preserve">  </v>
      </c>
      <c r="B385" s="694"/>
      <c r="C385" s="90"/>
      <c r="D385" s="431"/>
      <c r="E385" s="431"/>
      <c r="F385" s="431"/>
      <c r="G385" s="431"/>
      <c r="H385" s="431"/>
      <c r="I385" s="432"/>
    </row>
    <row r="386" spans="1:9" x14ac:dyDescent="0.2">
      <c r="A386" s="86" t="str">
        <f>IF(ISBLANK('Personnel Yr 1'!G56),"",'Personnel Yr 1'!G56)</f>
        <v/>
      </c>
      <c r="B386" s="84" t="s">
        <v>539</v>
      </c>
      <c r="C386" s="84"/>
      <c r="D386" s="430">
        <f>SUM('Personnel Yr 1'!O56)</f>
        <v>0</v>
      </c>
      <c r="E386" s="430">
        <f>SUM('Personnel Yr 2'!O56)</f>
        <v>0</v>
      </c>
      <c r="F386" s="430">
        <f>SUM('Personnel Yr 3'!O56)</f>
        <v>0</v>
      </c>
      <c r="G386" s="430">
        <f>SUM('Personnel Yr 4'!O56)</f>
        <v>0</v>
      </c>
      <c r="H386" s="430">
        <f>SUM('Personnel Yr 5'!O56)</f>
        <v>0</v>
      </c>
      <c r="I386" s="430">
        <f>SUM(D386:H386)</f>
        <v>0</v>
      </c>
    </row>
    <row r="387" spans="1:9" x14ac:dyDescent="0.2">
      <c r="A387" s="693" t="str">
        <f>CONCATENATE('Personnel Yr 1'!B57, IF(OR(ISBLANK('Personnel Yr 1'!B57),'Personnel Yr 1'!B57=""),""," "),'Personnel Yr 1'!C57, " ",'Personnel Yr 1'!D57,IF(OR(ISBLANK('Personnel Yr 1'!D57),'Personnel Yr 1'!D57=""),""," "),'Personnel Yr 1'!E57," ",'Personnel Yr 1'!F57)</f>
        <v xml:space="preserve">  </v>
      </c>
      <c r="B387" s="694"/>
      <c r="C387" s="90"/>
      <c r="D387" s="431"/>
      <c r="E387" s="431"/>
      <c r="F387" s="431"/>
      <c r="G387" s="431"/>
      <c r="H387" s="431"/>
      <c r="I387" s="432"/>
    </row>
    <row r="388" spans="1:9" x14ac:dyDescent="0.2">
      <c r="A388" s="86" t="str">
        <f>IF(ISBLANK('Personnel Yr 1'!G57),"",'Personnel Yr 1'!G57)</f>
        <v/>
      </c>
      <c r="B388" s="84" t="s">
        <v>539</v>
      </c>
      <c r="C388" s="84"/>
      <c r="D388" s="430">
        <f>SUM('Personnel Yr 1'!O57)</f>
        <v>0</v>
      </c>
      <c r="E388" s="430">
        <f>SUM('Personnel Yr 2'!O57)</f>
        <v>0</v>
      </c>
      <c r="F388" s="430">
        <f>SUM('Personnel Yr 3'!O57)</f>
        <v>0</v>
      </c>
      <c r="G388" s="430">
        <f>SUM('Personnel Yr 4'!O57)</f>
        <v>0</v>
      </c>
      <c r="H388" s="430">
        <f>SUM('Personnel Yr 5'!O57)</f>
        <v>0</v>
      </c>
      <c r="I388" s="430">
        <f>SUM(D388:H388)</f>
        <v>0</v>
      </c>
    </row>
    <row r="389" spans="1:9" x14ac:dyDescent="0.2">
      <c r="A389" s="696" t="str">
        <f>CONCATENATE('Personnel Yr 1'!B58, IF(OR(ISBLANK('Personnel Yr 1'!B58),'Personnel Yr 1'!B58=""),""," "),'Personnel Yr 1'!C58, " ",'Personnel Yr 1'!D58,IF(OR(ISBLANK('Personnel Yr 1'!D58),'Personnel Yr 1'!D58=""),""," "),'Personnel Yr 1'!E58," ",'Personnel Yr 1'!F58)</f>
        <v xml:space="preserve">  </v>
      </c>
      <c r="B389" s="695"/>
      <c r="C389" s="90"/>
      <c r="D389" s="431"/>
      <c r="E389" s="431"/>
      <c r="F389" s="431"/>
      <c r="G389" s="431"/>
      <c r="H389" s="431"/>
      <c r="I389" s="432"/>
    </row>
    <row r="390" spans="1:9" x14ac:dyDescent="0.2">
      <c r="A390" s="83" t="str">
        <f>IF(ISBLANK('Personnel Yr 1'!G58),"",'Personnel Yr 1'!G58)</f>
        <v/>
      </c>
      <c r="B390" s="84" t="s">
        <v>539</v>
      </c>
      <c r="C390" s="84"/>
      <c r="D390" s="430">
        <f>SUM('Personnel Yr 1'!O58)</f>
        <v>0</v>
      </c>
      <c r="E390" s="430">
        <f>SUM('Personnel Yr 2'!O58)</f>
        <v>0</v>
      </c>
      <c r="F390" s="430">
        <f>SUM('Personnel Yr 3'!O58)</f>
        <v>0</v>
      </c>
      <c r="G390" s="430">
        <f>SUM('Personnel Yr 4'!O58)</f>
        <v>0</v>
      </c>
      <c r="H390" s="430">
        <f>SUM('Personnel Yr 5'!O58)</f>
        <v>0</v>
      </c>
      <c r="I390" s="430">
        <f>SUM(D390:H390)</f>
        <v>0</v>
      </c>
    </row>
    <row r="391" spans="1:9" x14ac:dyDescent="0.2">
      <c r="A391" s="696" t="str">
        <f>CONCATENATE('Personnel Yr 1'!B59, IF(OR(ISBLANK('Personnel Yr 1'!B59),'Personnel Yr 1'!B59=""),""," "),'Personnel Yr 1'!C59, " ",'Personnel Yr 1'!D59,IF(OR(ISBLANK('Personnel Yr 1'!D59),'Personnel Yr 1'!D59=""),""," "),'Personnel Yr 1'!E59," ",'Personnel Yr 1'!F59)</f>
        <v xml:space="preserve">  </v>
      </c>
      <c r="B391" s="695"/>
      <c r="C391" s="90"/>
      <c r="D391" s="433"/>
      <c r="E391" s="433"/>
      <c r="F391" s="433"/>
      <c r="G391" s="433"/>
      <c r="H391" s="434"/>
      <c r="I391" s="435"/>
    </row>
    <row r="392" spans="1:9" x14ac:dyDescent="0.2">
      <c r="A392" s="83" t="str">
        <f>IF(ISBLANK('Personnel Yr 1'!G59),"",'Personnel Yr 1'!G59)</f>
        <v/>
      </c>
      <c r="B392" s="84" t="s">
        <v>539</v>
      </c>
      <c r="C392" s="84"/>
      <c r="D392" s="430">
        <f>SUM('Personnel Yr 1'!O59)</f>
        <v>0</v>
      </c>
      <c r="E392" s="430">
        <f>SUM('Personnel Yr 2'!O59)</f>
        <v>0</v>
      </c>
      <c r="F392" s="430">
        <f>SUM('Personnel Yr 3'!O59)</f>
        <v>0</v>
      </c>
      <c r="G392" s="430">
        <f>SUM('Personnel Yr 4'!O59)</f>
        <v>0</v>
      </c>
      <c r="H392" s="430">
        <f>SUM('Personnel Yr 5'!O59)</f>
        <v>0</v>
      </c>
      <c r="I392" s="430">
        <f>SUM(D392:H392)</f>
        <v>0</v>
      </c>
    </row>
    <row r="393" spans="1:9" x14ac:dyDescent="0.2">
      <c r="A393" s="696" t="str">
        <f>CONCATENATE('Personnel Yr 1'!B60, IF(OR(ISBLANK('Personnel Yr 1'!B60),'Personnel Yr 1'!B60=""),""," "),'Personnel Yr 1'!C60, " ",'Personnel Yr 1'!D60,IF(OR(ISBLANK('Personnel Yr 1'!D60),'Personnel Yr 1'!D60=""),""," "),'Personnel Yr 1'!E60," ",'Personnel Yr 1'!F60)</f>
        <v xml:space="preserve">  </v>
      </c>
      <c r="B393" s="695"/>
      <c r="C393" s="90"/>
      <c r="D393" s="431"/>
      <c r="E393" s="431"/>
      <c r="F393" s="431"/>
      <c r="G393" s="431"/>
      <c r="H393" s="431"/>
      <c r="I393" s="432"/>
    </row>
    <row r="394" spans="1:9" x14ac:dyDescent="0.2">
      <c r="A394" s="83" t="str">
        <f>IF(ISBLANK('Personnel Yr 1'!G60),"",'Personnel Yr 1'!G60)</f>
        <v/>
      </c>
      <c r="B394" s="84" t="s">
        <v>539</v>
      </c>
      <c r="C394" s="84"/>
      <c r="D394" s="430">
        <f>SUM('Personnel Yr 1'!O60)</f>
        <v>0</v>
      </c>
      <c r="E394" s="430">
        <f>SUM('Personnel Yr 2'!O60)</f>
        <v>0</v>
      </c>
      <c r="F394" s="430">
        <f>SUM('Personnel Yr 3'!O60)</f>
        <v>0</v>
      </c>
      <c r="G394" s="430">
        <f>SUM('Personnel Yr 4'!O60)</f>
        <v>0</v>
      </c>
      <c r="H394" s="430">
        <f>SUM('Personnel Yr 5'!O60)</f>
        <v>0</v>
      </c>
      <c r="I394" s="430">
        <f>SUM(D394:H394)</f>
        <v>0</v>
      </c>
    </row>
    <row r="395" spans="1:9" x14ac:dyDescent="0.2">
      <c r="A395" s="695" t="str">
        <f>CONCATENATE('Personnel Yr 1'!B61, IF(OR(ISBLANK('Personnel Yr 1'!B61),'Personnel Yr 1'!B61=""),""," "),'Personnel Yr 1'!C61, " ",'Personnel Yr 1'!D61,IF(OR(ISBLANK('Personnel Yr 1'!D61),'Personnel Yr 1'!D61=""),""," "),'Personnel Yr 1'!E61," ",'Personnel Yr 1'!F61)</f>
        <v xml:space="preserve">  </v>
      </c>
      <c r="B395" s="695"/>
      <c r="C395" s="63"/>
      <c r="D395" s="436"/>
      <c r="E395" s="436"/>
      <c r="F395" s="436"/>
      <c r="G395" s="436"/>
      <c r="H395" s="436"/>
      <c r="I395" s="437"/>
    </row>
    <row r="396" spans="1:9" x14ac:dyDescent="0.2">
      <c r="A396" s="83" t="str">
        <f>IF(ISBLANK('Personnel Yr 1'!G61),"",'Personnel Yr 1'!G61)</f>
        <v/>
      </c>
      <c r="B396" s="84" t="s">
        <v>539</v>
      </c>
      <c r="C396" s="84"/>
      <c r="D396" s="430">
        <f>SUM('Personnel Yr 1'!O61)</f>
        <v>0</v>
      </c>
      <c r="E396" s="430">
        <f>SUM('Personnel Yr 2'!O61)</f>
        <v>0</v>
      </c>
      <c r="F396" s="430">
        <f>SUM('Personnel Yr 3'!O61)</f>
        <v>0</v>
      </c>
      <c r="G396" s="430">
        <f>SUM('Personnel Yr 4'!O61)</f>
        <v>0</v>
      </c>
      <c r="H396" s="430">
        <f>SUM('Personnel Yr 5'!O61)</f>
        <v>0</v>
      </c>
      <c r="I396" s="430">
        <f>SUM(D396:H396)</f>
        <v>0</v>
      </c>
    </row>
    <row r="397" spans="1:9" x14ac:dyDescent="0.2">
      <c r="A397" s="693" t="str">
        <f>CONCATENATE('Personnel Yr 1'!B62, IF(OR(ISBLANK('Personnel Yr 1'!B62),'Personnel Yr 1'!B62=""),""," "),'Personnel Yr 1'!C62, " ",'Personnel Yr 1'!D62,IF(OR(ISBLANK('Personnel Yr 1'!D62),'Personnel Yr 1'!D62=""),""," "),'Personnel Yr 1'!E62," ",'Personnel Yr 1'!F62)</f>
        <v xml:space="preserve">  </v>
      </c>
      <c r="B397" s="694"/>
      <c r="C397" s="90"/>
      <c r="D397" s="431"/>
      <c r="E397" s="431"/>
      <c r="F397" s="431"/>
      <c r="G397" s="431"/>
      <c r="H397" s="431"/>
      <c r="I397" s="432"/>
    </row>
    <row r="398" spans="1:9" x14ac:dyDescent="0.2">
      <c r="A398" s="86" t="str">
        <f>IF(ISBLANK('Personnel Yr 1'!G62),"",'Personnel Yr 1'!G62)</f>
        <v/>
      </c>
      <c r="B398" s="84" t="s">
        <v>539</v>
      </c>
      <c r="C398" s="84"/>
      <c r="D398" s="430">
        <f>SUM('Personnel Yr 1'!O62)</f>
        <v>0</v>
      </c>
      <c r="E398" s="430">
        <f>SUM('Personnel Yr 2'!O62)</f>
        <v>0</v>
      </c>
      <c r="F398" s="430">
        <f>SUM('Personnel Yr 3'!O62)</f>
        <v>0</v>
      </c>
      <c r="G398" s="430">
        <f>SUM('Personnel Yr 4'!O62)</f>
        <v>0</v>
      </c>
      <c r="H398" s="430">
        <f>SUM('Personnel Yr 5'!O62)</f>
        <v>0</v>
      </c>
      <c r="I398" s="430">
        <f>SUM(D398:H398)</f>
        <v>0</v>
      </c>
    </row>
    <row r="399" spans="1:9" x14ac:dyDescent="0.2">
      <c r="A399" s="693" t="str">
        <f>CONCATENATE('Personnel Yr 1'!B63, IF(OR(ISBLANK('Personnel Yr 1'!B63),'Personnel Yr 1'!B63=""),""," "),'Personnel Yr 1'!C63, " ",'Personnel Yr 1'!D63,IF(OR(ISBLANK('Personnel Yr 1'!D63),'Personnel Yr 1'!D63=""),""," "),'Personnel Yr 1'!E63," ",'Personnel Yr 1'!F63)</f>
        <v xml:space="preserve">  </v>
      </c>
      <c r="B399" s="694"/>
      <c r="C399" s="90"/>
      <c r="D399" s="431"/>
      <c r="E399" s="431"/>
      <c r="F399" s="431"/>
      <c r="G399" s="431"/>
      <c r="H399" s="431"/>
      <c r="I399" s="432"/>
    </row>
    <row r="400" spans="1:9" x14ac:dyDescent="0.2">
      <c r="A400" s="86" t="str">
        <f>IF(ISBLANK('Personnel Yr 1'!G63),"",'Personnel Yr 1'!G63)</f>
        <v/>
      </c>
      <c r="B400" s="84" t="s">
        <v>539</v>
      </c>
      <c r="C400" s="84"/>
      <c r="D400" s="430">
        <f>SUM('Personnel Yr 1'!O63)</f>
        <v>0</v>
      </c>
      <c r="E400" s="430">
        <f>SUM('Personnel Yr 2'!O63)</f>
        <v>0</v>
      </c>
      <c r="F400" s="430">
        <f>SUM('Personnel Yr 3'!O63)</f>
        <v>0</v>
      </c>
      <c r="G400" s="430">
        <f>SUM('Personnel Yr 4'!O63)</f>
        <v>0</v>
      </c>
      <c r="H400" s="430">
        <f>SUM('Personnel Yr 5'!O63)</f>
        <v>0</v>
      </c>
      <c r="I400" s="430">
        <f>SUM(D400:H400)</f>
        <v>0</v>
      </c>
    </row>
    <row r="401" spans="1:9" x14ac:dyDescent="0.2">
      <c r="A401" s="693" t="str">
        <f>CONCATENATE('Personnel Yr 1'!B64, IF(OR(ISBLANK('Personnel Yr 1'!B64),'Personnel Yr 1'!B64=""),""," "),'Personnel Yr 1'!C64, " ",'Personnel Yr 1'!D64,IF(OR(ISBLANK('Personnel Yr 1'!D64),'Personnel Yr 1'!D64=""),""," "),'Personnel Yr 1'!E64," ",'Personnel Yr 1'!F64)</f>
        <v xml:space="preserve">  </v>
      </c>
      <c r="B401" s="694"/>
      <c r="C401" s="90"/>
      <c r="D401" s="431"/>
      <c r="E401" s="431"/>
      <c r="F401" s="431"/>
      <c r="G401" s="431"/>
      <c r="H401" s="431"/>
      <c r="I401" s="432"/>
    </row>
    <row r="402" spans="1:9" x14ac:dyDescent="0.2">
      <c r="A402" s="86" t="str">
        <f>IF(ISBLANK('Personnel Yr 1'!G64),"",'Personnel Yr 1'!G64)</f>
        <v/>
      </c>
      <c r="B402" s="84" t="s">
        <v>539</v>
      </c>
      <c r="C402" s="84"/>
      <c r="D402" s="430">
        <f>SUM('Personnel Yr 1'!O64)</f>
        <v>0</v>
      </c>
      <c r="E402" s="430">
        <f>SUM('Personnel Yr 2'!O64)</f>
        <v>0</v>
      </c>
      <c r="F402" s="430">
        <f>SUM('Personnel Yr 3'!O64)</f>
        <v>0</v>
      </c>
      <c r="G402" s="430">
        <f>SUM('Personnel Yr 4'!O64)</f>
        <v>0</v>
      </c>
      <c r="H402" s="430">
        <f>SUM('Personnel Yr 5'!O64)</f>
        <v>0</v>
      </c>
      <c r="I402" s="430">
        <f>SUM(D402:H402)</f>
        <v>0</v>
      </c>
    </row>
    <row r="403" spans="1:9" x14ac:dyDescent="0.2">
      <c r="A403" s="693" t="str">
        <f>CONCATENATE('Personnel Yr 1'!B65, IF(OR(ISBLANK('Personnel Yr 1'!B65),'Personnel Yr 1'!B65=""),""," "),'Personnel Yr 1'!C65, " ",'Personnel Yr 1'!D65,IF(OR(ISBLANK('Personnel Yr 1'!D65),'Personnel Yr 1'!D65=""),""," "),'Personnel Yr 1'!E65," ",'Personnel Yr 1'!F65)</f>
        <v xml:space="preserve">  </v>
      </c>
      <c r="B403" s="694"/>
      <c r="C403" s="90"/>
      <c r="D403" s="431"/>
      <c r="E403" s="431"/>
      <c r="F403" s="431"/>
      <c r="G403" s="431"/>
      <c r="H403" s="431"/>
      <c r="I403" s="432"/>
    </row>
    <row r="404" spans="1:9" x14ac:dyDescent="0.2">
      <c r="A404" s="83" t="str">
        <f>IF(ISBLANK('Personnel Yr 1'!G65),"",'Personnel Yr 1'!G65)</f>
        <v/>
      </c>
      <c r="B404" s="84" t="s">
        <v>539</v>
      </c>
      <c r="C404" s="84"/>
      <c r="D404" s="430">
        <f>SUM('Personnel Yr 1'!O65)</f>
        <v>0</v>
      </c>
      <c r="E404" s="430">
        <f>SUM('Personnel Yr 2'!O65)</f>
        <v>0</v>
      </c>
      <c r="F404" s="430">
        <f>SUM('Personnel Yr 3'!O65)</f>
        <v>0</v>
      </c>
      <c r="G404" s="430">
        <f>SUM('Personnel Yr 4'!O65)</f>
        <v>0</v>
      </c>
      <c r="H404" s="430">
        <f>SUM('Personnel Yr 5'!O65)</f>
        <v>0</v>
      </c>
      <c r="I404" s="430">
        <f>SUM(D404:H404)</f>
        <v>0</v>
      </c>
    </row>
    <row r="405" spans="1:9" x14ac:dyDescent="0.2">
      <c r="A405" s="693" t="str">
        <f>CONCATENATE('Personnel Yr 1'!B66, IF(OR(ISBLANK('Personnel Yr 1'!B66),'Personnel Yr 1'!B66=""),""," "),'Personnel Yr 1'!C66, " ",'Personnel Yr 1'!D66,IF(OR(ISBLANK('Personnel Yr 1'!D66),'Personnel Yr 1'!D66=""),""," "),'Personnel Yr 1'!E66," ",'Personnel Yr 1'!F66)</f>
        <v xml:space="preserve">  </v>
      </c>
      <c r="B405" s="694"/>
      <c r="C405" s="90"/>
      <c r="D405" s="431"/>
      <c r="E405" s="431"/>
      <c r="F405" s="431"/>
      <c r="G405" s="431"/>
      <c r="H405" s="431"/>
      <c r="I405" s="432"/>
    </row>
    <row r="406" spans="1:9" x14ac:dyDescent="0.2">
      <c r="A406" s="83" t="str">
        <f>IF(ISBLANK('Personnel Yr 1'!G66),"",'Personnel Yr 1'!G66)</f>
        <v/>
      </c>
      <c r="B406" s="84" t="s">
        <v>539</v>
      </c>
      <c r="C406" s="84"/>
      <c r="D406" s="430">
        <f>SUM('Personnel Yr 1'!O66)</f>
        <v>0</v>
      </c>
      <c r="E406" s="430">
        <f>SUM('Personnel Yr 2'!O66)</f>
        <v>0</v>
      </c>
      <c r="F406" s="430">
        <f>SUM('Personnel Yr 3'!O66)</f>
        <v>0</v>
      </c>
      <c r="G406" s="430">
        <f>SUM('Personnel Yr 4'!O66)</f>
        <v>0</v>
      </c>
      <c r="H406" s="430">
        <f>SUM('Personnel Yr 5'!O66)</f>
        <v>0</v>
      </c>
      <c r="I406" s="430">
        <f>SUM(D406:H406)</f>
        <v>0</v>
      </c>
    </row>
    <row r="407" spans="1:9" x14ac:dyDescent="0.2">
      <c r="A407" s="693" t="str">
        <f>CONCATENATE('Personnel Yr 1'!B67, IF(OR(ISBLANK('Personnel Yr 1'!B67),'Personnel Yr 1'!B67=""),""," "),'Personnel Yr 1'!C67, " ",'Personnel Yr 1'!D67,IF(OR(ISBLANK('Personnel Yr 1'!D67),'Personnel Yr 1'!D67=""),""," "),'Personnel Yr 1'!E67," ",'Personnel Yr 1'!F67)</f>
        <v xml:space="preserve">  </v>
      </c>
      <c r="B407" s="694"/>
      <c r="C407" s="90"/>
      <c r="D407" s="433"/>
      <c r="E407" s="433"/>
      <c r="F407" s="433"/>
      <c r="G407" s="433"/>
      <c r="H407" s="434"/>
      <c r="I407" s="435"/>
    </row>
    <row r="408" spans="1:9" x14ac:dyDescent="0.2">
      <c r="A408" s="83" t="str">
        <f>IF(ISBLANK('Personnel Yr 1'!G67),"",'Personnel Yr 1'!G67)</f>
        <v/>
      </c>
      <c r="B408" s="84" t="s">
        <v>539</v>
      </c>
      <c r="C408" s="84"/>
      <c r="D408" s="430">
        <f>SUM('Personnel Yr 1'!O67)</f>
        <v>0</v>
      </c>
      <c r="E408" s="430">
        <f>SUM('Personnel Yr 2'!O67)</f>
        <v>0</v>
      </c>
      <c r="F408" s="430">
        <f>SUM('Personnel Yr 3'!O67)</f>
        <v>0</v>
      </c>
      <c r="G408" s="430">
        <f>SUM('Personnel Yr 4'!O67)</f>
        <v>0</v>
      </c>
      <c r="H408" s="430">
        <f>SUM('Personnel Yr 5'!O67)</f>
        <v>0</v>
      </c>
      <c r="I408" s="430">
        <f>SUM(D408:H408)</f>
        <v>0</v>
      </c>
    </row>
    <row r="409" spans="1:9" x14ac:dyDescent="0.2">
      <c r="A409" s="693" t="str">
        <f>CONCATENATE('Personnel Yr 1'!B68, IF(OR(ISBLANK('Personnel Yr 1'!B68),'Personnel Yr 1'!B68=""),""," "),'Personnel Yr 1'!C68, " ",'Personnel Yr 1'!D68,IF(OR(ISBLANK('Personnel Yr 1'!D68),'Personnel Yr 1'!D68=""),""," "),'Personnel Yr 1'!E68," ",'Personnel Yr 1'!F68)</f>
        <v xml:space="preserve">  </v>
      </c>
      <c r="B409" s="694"/>
      <c r="C409" s="90"/>
      <c r="D409" s="431"/>
      <c r="E409" s="431"/>
      <c r="F409" s="431"/>
      <c r="G409" s="431"/>
      <c r="H409" s="431"/>
      <c r="I409" s="432"/>
    </row>
    <row r="410" spans="1:9" x14ac:dyDescent="0.2">
      <c r="A410" s="86" t="str">
        <f>IF(ISBLANK('Personnel Yr 1'!G68),"",'Personnel Yr 1'!G68)</f>
        <v/>
      </c>
      <c r="B410" s="84" t="s">
        <v>539</v>
      </c>
      <c r="C410" s="84"/>
      <c r="D410" s="430">
        <f>SUM('Personnel Yr 1'!O68)</f>
        <v>0</v>
      </c>
      <c r="E410" s="430">
        <f>SUM('Personnel Yr 2'!O68)</f>
        <v>0</v>
      </c>
      <c r="F410" s="430">
        <f>SUM('Personnel Yr 3'!O68)</f>
        <v>0</v>
      </c>
      <c r="G410" s="430">
        <f>SUM('Personnel Yr 4'!O68)</f>
        <v>0</v>
      </c>
      <c r="H410" s="430">
        <f>SUM('Personnel Yr 5'!O68)</f>
        <v>0</v>
      </c>
      <c r="I410" s="430">
        <f>SUM(D410:H410)</f>
        <v>0</v>
      </c>
    </row>
    <row r="411" spans="1:9" x14ac:dyDescent="0.2">
      <c r="A411" s="693" t="str">
        <f>CONCATENATE('Personnel Yr 1'!B69, IF(OR(ISBLANK('Personnel Yr 1'!B69),'Personnel Yr 1'!B69=""),""," "),'Personnel Yr 1'!C69, " ",'Personnel Yr 1'!D69,IF(OR(ISBLANK('Personnel Yr 1'!D69),'Personnel Yr 1'!D69=""),""," "),'Personnel Yr 1'!E69," ",'Personnel Yr 1'!F69)</f>
        <v xml:space="preserve">  </v>
      </c>
      <c r="B411" s="694"/>
      <c r="C411" s="90"/>
      <c r="D411" s="431"/>
      <c r="E411" s="431"/>
      <c r="F411" s="431"/>
      <c r="G411" s="431"/>
      <c r="H411" s="431"/>
      <c r="I411" s="432"/>
    </row>
    <row r="412" spans="1:9" x14ac:dyDescent="0.2">
      <c r="A412" s="86" t="str">
        <f>IF(ISBLANK('Personnel Yr 1'!G69),"",'Personnel Yr 1'!G69)</f>
        <v/>
      </c>
      <c r="B412" s="84" t="s">
        <v>539</v>
      </c>
      <c r="C412" s="84"/>
      <c r="D412" s="430">
        <f>SUM('Personnel Yr 1'!O69)</f>
        <v>0</v>
      </c>
      <c r="E412" s="430">
        <f>SUM('Personnel Yr 2'!O69)</f>
        <v>0</v>
      </c>
      <c r="F412" s="430">
        <f>SUM('Personnel Yr 3'!O69)</f>
        <v>0</v>
      </c>
      <c r="G412" s="430">
        <f>SUM('Personnel Yr 4'!O69)</f>
        <v>0</v>
      </c>
      <c r="H412" s="430">
        <f>SUM('Personnel Yr 5'!O69)</f>
        <v>0</v>
      </c>
      <c r="I412" s="430">
        <f>SUM(D412:H412)</f>
        <v>0</v>
      </c>
    </row>
    <row r="413" spans="1:9" x14ac:dyDescent="0.2">
      <c r="A413" s="693" t="str">
        <f>CONCATENATE('Personnel Yr 1'!B70, IF(OR(ISBLANK('Personnel Yr 1'!B70),'Personnel Yr 1'!B70=""),""," "),'Personnel Yr 1'!C70, " ",'Personnel Yr 1'!D70,IF(OR(ISBLANK('Personnel Yr 1'!D70),'Personnel Yr 1'!D70=""),""," "),'Personnel Yr 1'!E70," ",'Personnel Yr 1'!F70)</f>
        <v xml:space="preserve">  </v>
      </c>
      <c r="B413" s="694"/>
      <c r="C413" s="90"/>
      <c r="D413" s="431"/>
      <c r="E413" s="431"/>
      <c r="F413" s="431"/>
      <c r="G413" s="431"/>
      <c r="H413" s="431"/>
      <c r="I413" s="432"/>
    </row>
    <row r="414" spans="1:9" x14ac:dyDescent="0.2">
      <c r="A414" s="83" t="str">
        <f>IF(ISBLANK('Personnel Yr 1'!G70),"",'Personnel Yr 1'!G70)</f>
        <v/>
      </c>
      <c r="B414" s="84" t="s">
        <v>539</v>
      </c>
      <c r="C414" s="84"/>
      <c r="D414" s="430">
        <f>SUM('Personnel Yr 1'!O70)</f>
        <v>0</v>
      </c>
      <c r="E414" s="430">
        <f>SUM('Personnel Yr 2'!O70)</f>
        <v>0</v>
      </c>
      <c r="F414" s="430">
        <f>SUM('Personnel Yr 3'!O70)</f>
        <v>0</v>
      </c>
      <c r="G414" s="430">
        <f>SUM('Personnel Yr 4'!O70)</f>
        <v>0</v>
      </c>
      <c r="H414" s="430">
        <f>SUM('Personnel Yr 5'!O70)</f>
        <v>0</v>
      </c>
      <c r="I414" s="430">
        <f>SUM(D414:H414)</f>
        <v>0</v>
      </c>
    </row>
    <row r="415" spans="1:9" x14ac:dyDescent="0.2">
      <c r="A415" s="693" t="str">
        <f>CONCATENATE('Personnel Yr 1'!B71, IF(OR(ISBLANK('Personnel Yr 1'!B71),'Personnel Yr 1'!B71=""),""," "),'Personnel Yr 1'!C71, " ",'Personnel Yr 1'!D71,IF(OR(ISBLANK('Personnel Yr 1'!D71),'Personnel Yr 1'!D71=""),""," "),'Personnel Yr 1'!E71," ",'Personnel Yr 1'!F71)</f>
        <v xml:space="preserve">  </v>
      </c>
      <c r="B415" s="694"/>
      <c r="C415" s="90"/>
      <c r="D415" s="431"/>
      <c r="E415" s="431"/>
      <c r="F415" s="431"/>
      <c r="G415" s="431"/>
      <c r="H415" s="431"/>
      <c r="I415" s="432"/>
    </row>
    <row r="416" spans="1:9" x14ac:dyDescent="0.2">
      <c r="A416" s="83" t="str">
        <f>IF(ISBLANK('Personnel Yr 1'!G71),"",'Personnel Yr 1'!G71)</f>
        <v/>
      </c>
      <c r="B416" s="84" t="s">
        <v>539</v>
      </c>
      <c r="C416" s="84"/>
      <c r="D416" s="430">
        <f>SUM('Personnel Yr 1'!O71)</f>
        <v>0</v>
      </c>
      <c r="E416" s="430">
        <f>SUM('Personnel Yr 2'!O71)</f>
        <v>0</v>
      </c>
      <c r="F416" s="430">
        <f>SUM('Personnel Yr 3'!O71)</f>
        <v>0</v>
      </c>
      <c r="G416" s="430">
        <f>SUM('Personnel Yr 4'!O71)</f>
        <v>0</v>
      </c>
      <c r="H416" s="430">
        <f>SUM('Personnel Yr 5'!O71)</f>
        <v>0</v>
      </c>
      <c r="I416" s="430">
        <f>SUM(D416:H416)</f>
        <v>0</v>
      </c>
    </row>
    <row r="417" spans="1:9" x14ac:dyDescent="0.2">
      <c r="A417" s="693" t="str">
        <f>CONCATENATE('Personnel Yr 1'!B72, IF(OR(ISBLANK('Personnel Yr 1'!B72),'Personnel Yr 1'!B72=""),""," "),'Personnel Yr 1'!C72, " ",'Personnel Yr 1'!D72,IF(OR(ISBLANK('Personnel Yr 1'!D72),'Personnel Yr 1'!D72=""),""," "),'Personnel Yr 1'!E72," ",'Personnel Yr 1'!F72)</f>
        <v xml:space="preserve">  </v>
      </c>
      <c r="B417" s="694"/>
      <c r="C417" s="90"/>
      <c r="D417" s="433"/>
      <c r="E417" s="433"/>
      <c r="F417" s="433"/>
      <c r="G417" s="433"/>
      <c r="H417" s="434"/>
      <c r="I417" s="435"/>
    </row>
    <row r="418" spans="1:9" ht="13.5" thickBot="1" x14ac:dyDescent="0.25">
      <c r="A418" s="427" t="str">
        <f>IF(ISBLANK('Personnel Yr 1'!G72),"",'Personnel Yr 1'!G72)</f>
        <v/>
      </c>
      <c r="B418" s="84" t="s">
        <v>539</v>
      </c>
      <c r="C418" s="428"/>
      <c r="D418" s="438">
        <f>SUM('Personnel Yr 1'!O72)</f>
        <v>0</v>
      </c>
      <c r="E418" s="438">
        <f>SUM('Personnel Yr 2'!O72)</f>
        <v>0</v>
      </c>
      <c r="F418" s="438">
        <f>SUM('Personnel Yr 3'!O72)</f>
        <v>0</v>
      </c>
      <c r="G418" s="438">
        <f>SUM('Personnel Yr 4'!O72)</f>
        <v>0</v>
      </c>
      <c r="H418" s="438">
        <f>SUM('Personnel Yr 5'!O72)</f>
        <v>0</v>
      </c>
      <c r="I418" s="438">
        <f>SUM(D418:H418)</f>
        <v>0</v>
      </c>
    </row>
    <row r="419" spans="1:9" ht="13.5" thickTop="1" x14ac:dyDescent="0.2"/>
  </sheetData>
  <sheetProtection algorithmName="SHA-512" hashValue="8wgC0rWXdj8YCWnAPXYwcfyxlRDVyUgldbC4P2qs826sdLpaEX/G9FryzQKckLRPgc5IAfmGGRu1qZgiP1OZ3g==" saltValue="TDTXunX15bEZwq5dPgzm1w==" spinCount="100000" sheet="1" objects="1" scenarios="1"/>
  <mergeCells count="160">
    <mergeCell ref="A370:B370"/>
    <mergeCell ref="A342:B342"/>
    <mergeCell ref="A335:B335"/>
    <mergeCell ref="A363:B363"/>
    <mergeCell ref="A306:B306"/>
    <mergeCell ref="A313:B313"/>
    <mergeCell ref="A320:B320"/>
    <mergeCell ref="A270:C270"/>
    <mergeCell ref="A285:B285"/>
    <mergeCell ref="A292:B292"/>
    <mergeCell ref="A299:B299"/>
    <mergeCell ref="A328:B328"/>
    <mergeCell ref="A327:D327"/>
    <mergeCell ref="A349:B349"/>
    <mergeCell ref="A356:B356"/>
    <mergeCell ref="A271:B271"/>
    <mergeCell ref="A278:B278"/>
    <mergeCell ref="A268:B268"/>
    <mergeCell ref="A260:B260"/>
    <mergeCell ref="A264:B264"/>
    <mergeCell ref="A248:B248"/>
    <mergeCell ref="A252:B252"/>
    <mergeCell ref="A159:B159"/>
    <mergeCell ref="A160:B160"/>
    <mergeCell ref="A244:B244"/>
    <mergeCell ref="A236:B236"/>
    <mergeCell ref="A232:B232"/>
    <mergeCell ref="A224:B224"/>
    <mergeCell ref="A228:B228"/>
    <mergeCell ref="A205:B205"/>
    <mergeCell ref="A172:B172"/>
    <mergeCell ref="A184:A185"/>
    <mergeCell ref="A162:B162"/>
    <mergeCell ref="A163:B163"/>
    <mergeCell ref="B170:C170"/>
    <mergeCell ref="A204:B204"/>
    <mergeCell ref="A200:A201"/>
    <mergeCell ref="A196:A197"/>
    <mergeCell ref="A212:B212"/>
    <mergeCell ref="A207:B207"/>
    <mergeCell ref="A216:B216"/>
    <mergeCell ref="A154:B154"/>
    <mergeCell ref="A147:B147"/>
    <mergeCell ref="A146:B146"/>
    <mergeCell ref="A151:B151"/>
    <mergeCell ref="A202:A203"/>
    <mergeCell ref="A188:A189"/>
    <mergeCell ref="A190:A191"/>
    <mergeCell ref="A168:B168"/>
    <mergeCell ref="A165:B165"/>
    <mergeCell ref="A164:B164"/>
    <mergeCell ref="A148:B148"/>
    <mergeCell ref="A192:A193"/>
    <mergeCell ref="A194:A195"/>
    <mergeCell ref="A256:B256"/>
    <mergeCell ref="A150:B150"/>
    <mergeCell ref="A198:A199"/>
    <mergeCell ref="A61:B61"/>
    <mergeCell ref="A89:B89"/>
    <mergeCell ref="A82:B82"/>
    <mergeCell ref="A75:B75"/>
    <mergeCell ref="A134:B134"/>
    <mergeCell ref="A140:B140"/>
    <mergeCell ref="A124:B124"/>
    <mergeCell ref="A122:B122"/>
    <mergeCell ref="A123:B123"/>
    <mergeCell ref="A115:B115"/>
    <mergeCell ref="A117:B117"/>
    <mergeCell ref="A112:B112"/>
    <mergeCell ref="A111:B111"/>
    <mergeCell ref="A108:B108"/>
    <mergeCell ref="A105:B105"/>
    <mergeCell ref="A110:B110"/>
    <mergeCell ref="A113:B113"/>
    <mergeCell ref="A114:B114"/>
    <mergeCell ref="A149:B149"/>
    <mergeCell ref="A153:B153"/>
    <mergeCell ref="A156:B156"/>
    <mergeCell ref="A1:I1"/>
    <mergeCell ref="A3:B3"/>
    <mergeCell ref="A54:B54"/>
    <mergeCell ref="A33:B33"/>
    <mergeCell ref="A29:B29"/>
    <mergeCell ref="A38:B38"/>
    <mergeCell ref="A25:B25"/>
    <mergeCell ref="A43:B43"/>
    <mergeCell ref="A42:B42"/>
    <mergeCell ref="A40:B40"/>
    <mergeCell ref="A41:B41"/>
    <mergeCell ref="A5:B5"/>
    <mergeCell ref="A37:B37"/>
    <mergeCell ref="C2:D2"/>
    <mergeCell ref="A44:B44"/>
    <mergeCell ref="A47:B47"/>
    <mergeCell ref="A46:B46"/>
    <mergeCell ref="A9:B9"/>
    <mergeCell ref="A21:B21"/>
    <mergeCell ref="A17:B17"/>
    <mergeCell ref="A13:B13"/>
    <mergeCell ref="A39:B39"/>
    <mergeCell ref="A378:C378"/>
    <mergeCell ref="A158:B158"/>
    <mergeCell ref="A157:B157"/>
    <mergeCell ref="A145:B145"/>
    <mergeCell ref="A68:B68"/>
    <mergeCell ref="A119:B119"/>
    <mergeCell ref="A171:B171"/>
    <mergeCell ref="A186:A187"/>
    <mergeCell ref="A176:B176"/>
    <mergeCell ref="A178:B178"/>
    <mergeCell ref="A174:B174"/>
    <mergeCell ref="A179:B179"/>
    <mergeCell ref="A181:B181"/>
    <mergeCell ref="A183:B183"/>
    <mergeCell ref="A125:B125"/>
    <mergeCell ref="A139:B139"/>
    <mergeCell ref="A136:B136"/>
    <mergeCell ref="A138:B138"/>
    <mergeCell ref="A130:B130"/>
    <mergeCell ref="A109:B109"/>
    <mergeCell ref="A96:B96"/>
    <mergeCell ref="A104:B104"/>
    <mergeCell ref="A220:B220"/>
    <mergeCell ref="A240:B240"/>
    <mergeCell ref="A379:B379"/>
    <mergeCell ref="A381:B381"/>
    <mergeCell ref="A383:B383"/>
    <mergeCell ref="A385:B385"/>
    <mergeCell ref="A387:B387"/>
    <mergeCell ref="A389:B389"/>
    <mergeCell ref="A391:B391"/>
    <mergeCell ref="A393:B393"/>
    <mergeCell ref="A106:B106"/>
    <mergeCell ref="A107:B107"/>
    <mergeCell ref="A120:B120"/>
    <mergeCell ref="A129:B129"/>
    <mergeCell ref="A152:B152"/>
    <mergeCell ref="A155:B155"/>
    <mergeCell ref="A166:B166"/>
    <mergeCell ref="A161:B161"/>
    <mergeCell ref="A141:B141"/>
    <mergeCell ref="A143:B143"/>
    <mergeCell ref="A142:B142"/>
    <mergeCell ref="A131:B131"/>
    <mergeCell ref="A121:B121"/>
    <mergeCell ref="A127:B127"/>
    <mergeCell ref="A133:B133"/>
    <mergeCell ref="A135:B135"/>
    <mergeCell ref="A411:B411"/>
    <mergeCell ref="A413:B413"/>
    <mergeCell ref="A415:B415"/>
    <mergeCell ref="A417:B417"/>
    <mergeCell ref="A395:B395"/>
    <mergeCell ref="A397:B397"/>
    <mergeCell ref="A399:B399"/>
    <mergeCell ref="A401:B401"/>
    <mergeCell ref="A403:B403"/>
    <mergeCell ref="A405:B405"/>
    <mergeCell ref="A407:B407"/>
    <mergeCell ref="A409:B409"/>
  </mergeCells>
  <phoneticPr fontId="5" type="noConversion"/>
  <printOptions horizontalCentered="1"/>
  <pageMargins left="0.25" right="0.25" top="0.75" bottom="0.5" header="0.5" footer="0.5"/>
  <pageSetup scale="82" fitToHeight="2" orientation="portrait" r:id="rId1"/>
  <headerFooter alignWithMargins="0">
    <oddHeader>&amp;C** Subject to OSP Approval **</oddHeader>
    <oddFooter>&amp;L&amp;D&amp;C&amp;P&amp;R&amp;T</oddFooter>
  </headerFooter>
  <rowBreaks count="6" manualBreakCount="6">
    <brk id="45" max="8" man="1"/>
    <brk id="103" max="8" man="1"/>
    <brk id="167" max="8" man="1"/>
    <brk id="206" max="8" man="1"/>
    <brk id="269" max="8" man="1"/>
    <brk id="326" max="8" man="1"/>
  </rowBreaks>
  <ignoredErrors>
    <ignoredError sqref="D50:E50 F50:H50 D57:H57 D64:H64 D71:H71 D78:H78 D85:H85 D92:H92 D99:H9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3"/>
  <sheetViews>
    <sheetView workbookViewId="0">
      <selection sqref="A1:I1"/>
    </sheetView>
  </sheetViews>
  <sheetFormatPr defaultRowHeight="12.75" x14ac:dyDescent="0.2"/>
  <cols>
    <col min="1" max="1" width="22.5703125" customWidth="1"/>
    <col min="2" max="2" width="14.85546875" bestFit="1" customWidth="1"/>
    <col min="3" max="3" width="14" bestFit="1" customWidth="1"/>
    <col min="4" max="9" width="10.85546875" customWidth="1"/>
  </cols>
  <sheetData>
    <row r="1" spans="1:9" ht="20.25" customHeight="1" x14ac:dyDescent="0.2">
      <c r="A1" s="729" t="s">
        <v>115</v>
      </c>
      <c r="B1" s="729"/>
      <c r="C1" s="729"/>
      <c r="D1" s="729"/>
      <c r="E1" s="729"/>
      <c r="F1" s="729"/>
      <c r="G1" s="729"/>
      <c r="H1" s="729"/>
      <c r="I1" s="729"/>
    </row>
    <row r="2" spans="1:9" x14ac:dyDescent="0.2">
      <c r="A2" s="4" t="s">
        <v>116</v>
      </c>
      <c r="B2" s="4"/>
      <c r="C2" s="516" t="str">
        <f>CONCATENATE('Personnel Yr 1'!B7, IF(OR(ISBLANK('Personnel Yr 1'!B7),'Personnel Yr 1'!B7=""),""," "),'Personnel Yr 1'!C7, " ",'Personnel Yr 1'!D7,IF(OR(ISBLANK('Personnel Yr 1'!D7),'Personnel Yr 1'!D7=""),""," "),'Personnel Yr 1'!E7," ",'Personnel Yr 1'!F7)</f>
        <v xml:space="preserve">  </v>
      </c>
      <c r="D2" s="516"/>
      <c r="E2" s="9" t="s">
        <v>203</v>
      </c>
      <c r="F2" s="9">
        <f>'Personnel Yr 1'!O4</f>
        <v>0</v>
      </c>
      <c r="H2" s="4" t="s">
        <v>94</v>
      </c>
      <c r="I2" s="58">
        <f>'Personnel Yr 1'!I5</f>
        <v>0</v>
      </c>
    </row>
    <row r="3" spans="1:9" ht="14.25" x14ac:dyDescent="0.2">
      <c r="A3" s="730" t="s">
        <v>117</v>
      </c>
      <c r="B3" s="730"/>
      <c r="C3" s="61"/>
      <c r="D3" s="62"/>
      <c r="E3" s="62"/>
      <c r="F3" s="62"/>
      <c r="G3" s="62"/>
      <c r="H3" s="62"/>
      <c r="I3" s="62"/>
    </row>
    <row r="4" spans="1:9" x14ac:dyDescent="0.2">
      <c r="A4" s="759" t="s">
        <v>118</v>
      </c>
      <c r="B4" s="759"/>
      <c r="C4" s="64"/>
      <c r="D4" s="64"/>
      <c r="E4" s="64"/>
      <c r="F4" s="64"/>
      <c r="G4" s="64"/>
      <c r="H4" s="64"/>
      <c r="I4" s="64"/>
    </row>
    <row r="5" spans="1:9" x14ac:dyDescent="0.2">
      <c r="A5" s="762" t="str">
        <f>CONCATENATE('Personnel Yr 1'!B7, IF(OR(ISBLANK('Personnel Yr 1'!B7),'Personnel Yr 1'!B7=""),""," "),'Personnel Yr 1'!C7, " ",'Personnel Yr 1'!D7,IF(OR(ISBLANK('Personnel Yr 1'!D7),'Personnel Yr 1'!D7=""),""," "),'Personnel Yr 1'!E7," ",'Personnel Yr 1'!F7)</f>
        <v xml:space="preserve">  </v>
      </c>
      <c r="B5" s="762"/>
      <c r="C5" s="66" t="s">
        <v>119</v>
      </c>
      <c r="D5" s="67" t="s">
        <v>32</v>
      </c>
      <c r="E5" s="67" t="s">
        <v>33</v>
      </c>
      <c r="F5" s="67" t="s">
        <v>34</v>
      </c>
      <c r="G5" s="67" t="s">
        <v>35</v>
      </c>
      <c r="H5" s="67" t="s">
        <v>36</v>
      </c>
      <c r="I5" s="67" t="s">
        <v>37</v>
      </c>
    </row>
    <row r="6" spans="1:9" x14ac:dyDescent="0.2">
      <c r="A6" s="731" t="s">
        <v>566</v>
      </c>
      <c r="B6" s="732"/>
      <c r="C6" s="75" t="s">
        <v>123</v>
      </c>
      <c r="D6" s="76">
        <f>SUMIF('Personnel Yr 1'!H7:H14,"Tenure/Track Faculty - Acad/Sum",'Personnel Yr 1'!S7:S14) + SUMIF('Personnel Yr 1'!H20:H34,"Tenure/Track Faculty - Acad/Sum",'Personnel Yr 1'!S20:S34)</f>
        <v>0</v>
      </c>
      <c r="E6" s="76">
        <f>SUMIF('Personnel Yr 2'!H7:H14,"Tenure/Track Faculty - Acad/Sum",'Personnel Yr 2'!R7:R14) + SUMIF('Personnel Yr 2'!H20:H34,"Tenure/Track Faculty - Acad/Sum",'Personnel Yr 2'!R20:R34)</f>
        <v>0</v>
      </c>
      <c r="F6" s="76">
        <f>SUMIF('Personnel Yr 3'!H7:H14,"Tenure/Track Faculty - Acad/Sum",'Personnel Yr 3'!R7:R14) + SUMIF('Personnel Yr 3'!H20:H34,"Tenure/Track Faculty - Acad/Sum",'Personnel Yr 3'!R20:R34)</f>
        <v>0</v>
      </c>
      <c r="G6" s="76">
        <f>SUMIF('Personnel Yr 4'!H7:H14,"Tenure/Track Faculty - Acad/Sum",'Personnel Yr 4'!R7:R14) + SUMIF('Personnel Yr 4'!H20:H34,"Tenure/Track Faculty - Acad/Sum",'Personnel Yr 4'!R20:R34)</f>
        <v>0</v>
      </c>
      <c r="H6" s="76">
        <f>SUMIF('Personnel Yr 5'!H7:H14,"Tenure/Track Faculty - Acad/Sum",'Personnel Yr 5'!R7:R14) + SUMIF('Personnel Yr 5'!H20:H34,"Tenure/Track Faculty - Acad/Sum",'Personnel Yr 5'!R20:R34)</f>
        <v>0</v>
      </c>
      <c r="I6" s="77">
        <f>SUM(D6:H6)</f>
        <v>0</v>
      </c>
    </row>
    <row r="7" spans="1:9" x14ac:dyDescent="0.2">
      <c r="A7" s="731" t="s">
        <v>565</v>
      </c>
      <c r="B7" s="732"/>
      <c r="C7" s="75" t="s">
        <v>122</v>
      </c>
      <c r="D7" s="76">
        <f>SUMIF('Personnel Yr 1'!H7:H14,"Tenure/Track Faculty - Acad/Sum",'Personnel Yr 1'!T7:T14) + SUMIF('Personnel Yr 1'!H20:H34,"Tenure/Track Faculty - Acad/Sum",'Personnel Yr 1'!T20:T34)</f>
        <v>0</v>
      </c>
      <c r="E7" s="76">
        <f>SUMIF('Personnel Yr 2'!H7:H14,"Tenure/Track Faculty - Acad/Sum",'Personnel Yr 2'!S7:S14) + SUMIF('Personnel Yr 2'!H20:H34,"Tenure/Track Faculty - Acad/Sum",'Personnel Yr 2'!S20:S34)</f>
        <v>0</v>
      </c>
      <c r="F7" s="76">
        <f>SUMIF('Personnel Yr 3'!H7:H14,"Tenure/Track Faculty - Acad/Sum",'Personnel Yr 3'!S7:S14) + SUMIF('Personnel Yr 3'!H20:H34,"Tenure/Track Faculty - Acad/Sum",'Personnel Yr 3'!S20:S34)</f>
        <v>0</v>
      </c>
      <c r="G7" s="76">
        <f>SUMIF('Personnel Yr 4'!H7:H14,"Tenure/Track Faculty - Acad/Sum",'Personnel Yr 4'!S7:S14) + SUMIF('Personnel Yr 4'!H20:H34,"Tenure/Track Faculty - Acad/Sum",'Personnel Yr 4'!S20:S34)</f>
        <v>0</v>
      </c>
      <c r="H7" s="76">
        <f>SUMIF('Personnel Yr 5'!H7:H14,"Tenure/Track Faculty - Acad/Sum",'Personnel Yr 5'!S7:S14) + SUMIF('Personnel Yr 5'!H20:H34,"Tenure/Track Faculty - Acad/Sum",'Personnel Yr 5'!S20:S34)</f>
        <v>0</v>
      </c>
      <c r="I7" s="77">
        <f>SUM(D7:H7)</f>
        <v>0</v>
      </c>
    </row>
    <row r="8" spans="1:9" x14ac:dyDescent="0.2">
      <c r="A8" s="731" t="s">
        <v>567</v>
      </c>
      <c r="B8" s="732"/>
      <c r="C8" s="75" t="s">
        <v>564</v>
      </c>
      <c r="D8" s="76">
        <f>SUMIFS('Personnel Yr 1'!R7:R14,'Personnel Yr 1'!H7:H14,"Tenure/Track Faculty - Calendar") + SUMIFS('Personnel Yr 1'!R20:R34,'Personnel Yr 1'!H20:H34,"Tenure/Track Faculty - Calendar")</f>
        <v>0</v>
      </c>
      <c r="E8" s="76">
        <f>SUMIFS('Personnel Yr 2'!Q7:Q14,'Personnel Yr 2'!H7:H14,"Tenure/Track Faculty - Calendar") + SUMIFS('Personnel Yr 2'!Q20:Q34,'Personnel Yr 2'!H20:H34,"Tenure/Track Faculty - Calendar")</f>
        <v>0</v>
      </c>
      <c r="F8" s="76">
        <f>SUMIFS('Personnel Yr 3'!Q7:Q14,'Personnel Yr 3'!H7:H14,"Tenure/Track Faculty - Calendar") + SUMIFS('Personnel Yr 3'!Q20:Q34,'Personnel Yr 3'!H20:H34,"Tenure/Track Faculty - Calendar")</f>
        <v>0</v>
      </c>
      <c r="G8" s="76">
        <f>SUMIFS('Personnel Yr 4'!Q7:Q14,'Personnel Yr 4'!H7:H14,"Tenure/Track Faculty - Calendar") + SUMIFS('Personnel Yr 4'!Q20:Q34,'Personnel Yr 4'!H20:H34,"Tenure/Track Faculty - Calendar")</f>
        <v>0</v>
      </c>
      <c r="H8" s="76">
        <f>SUMIFS('Personnel Yr 5'!Q7:Q14,'Personnel Yr 5'!H7:H14,"Tenure/Track Faculty - Calendar") + SUMIFS('Personnel Yr 5'!Q20:Q34,'Personnel Yr 5'!H20:H34,"Tenure/Track Faculty - Calendar")</f>
        <v>0</v>
      </c>
      <c r="I8" s="77">
        <f>SUM(D8:H8)</f>
        <v>0</v>
      </c>
    </row>
    <row r="9" spans="1:9" x14ac:dyDescent="0.2">
      <c r="A9" s="731" t="s">
        <v>647</v>
      </c>
      <c r="B9" s="732"/>
      <c r="C9" s="75" t="s">
        <v>534</v>
      </c>
      <c r="D9" s="76">
        <f>SUMIF('Personnel Yr 1'!H7:H34,"Non-Tenure Track Faculty - Full Time",'Personnel Yr 1'!M7:M34)</f>
        <v>0</v>
      </c>
      <c r="E9" s="76">
        <f>SUMIF('Personnel Yr 2'!H7:H34,"Non-Tenure Track Faculty - Full Time",'Personnel Yr 2'!M7:M34)</f>
        <v>0</v>
      </c>
      <c r="F9" s="76">
        <f>SUMIF('Personnel Yr 3'!H7:H34,"Non-Tenure Track Faculty - Full Time",'Personnel Yr 3'!M7:M34)</f>
        <v>0</v>
      </c>
      <c r="G9" s="76">
        <f>SUMIF('Personnel Yr 4'!H7:H34,"Non-Tenure Track Faculty - Full Time",'Personnel Yr 4'!M7:M34)</f>
        <v>0</v>
      </c>
      <c r="H9" s="76">
        <f>SUMIF('Personnel Yr 5'!H7:H34,"Non-Tenure Track Faculty - Full Time",'Personnel Yr 5'!M7:M34)</f>
        <v>0</v>
      </c>
      <c r="I9" s="77">
        <f>SUM(D9:H9)</f>
        <v>0</v>
      </c>
    </row>
    <row r="10" spans="1:9" x14ac:dyDescent="0.2">
      <c r="A10" s="731" t="s">
        <v>646</v>
      </c>
      <c r="B10" s="732"/>
      <c r="C10" s="75" t="s">
        <v>535</v>
      </c>
      <c r="D10" s="76">
        <f>SUMIF('Personnel Yr 1'!H7:H34,"Non-Tenure Track Faculty - Hourly",'Personnel Yr 1'!M7:M34)</f>
        <v>0</v>
      </c>
      <c r="E10" s="76">
        <f>SUMIF('Personnel Yr 2'!H7:H14,"Non-Tenure Track Faculty - Hourly",'Personnel Yr 2'!M7:M14)</f>
        <v>0</v>
      </c>
      <c r="F10" s="76">
        <f>SUMIF('Personnel Yr 3'!H7:H14,"Non-Tenure Track Faculty - Hourly",'Personnel Yr 3'!M7:M14)</f>
        <v>0</v>
      </c>
      <c r="G10" s="76">
        <f>SUMIF('Personnel Yr 4'!H7:H14,"Non-Tenure Track Faculty - Hourly",'Personnel Yr 4'!M7:M14)</f>
        <v>0</v>
      </c>
      <c r="H10" s="76">
        <f>SUMIF('Personnel Yr 5'!H7:H14,"Non-Tenure Track Faculty - Hourly",'Personnel Yr 5'!M7:M14)</f>
        <v>0</v>
      </c>
      <c r="I10" s="77">
        <f>SUM(D10:H10)</f>
        <v>0</v>
      </c>
    </row>
    <row r="11" spans="1:9" x14ac:dyDescent="0.2">
      <c r="A11" s="731" t="s">
        <v>648</v>
      </c>
      <c r="B11" s="732"/>
      <c r="C11" s="75" t="s">
        <v>533</v>
      </c>
      <c r="D11" s="76">
        <f>SUMIF('Personnel Yr 1'!H7:H34,"Senior Research Associate (Staff)",'Personnel Yr 1'!M7:M34)</f>
        <v>0</v>
      </c>
      <c r="E11" s="76">
        <f>SUMIF('Personnel Yr 2'!H7:H34,"Senior Research Associate (Staff)",'Personnel Yr 2'!M7:M34)</f>
        <v>0</v>
      </c>
      <c r="F11" s="76">
        <f>SUMIF('Personnel Yr 3'!H7:H34,"Senior Research Associate (Staff)",'Personnel Yr 3'!M7:M34)</f>
        <v>0</v>
      </c>
      <c r="G11" s="76">
        <f>SUMIF('Personnel Yr 4'!H7:H34,"Senior Research Associate (Staff)",'Personnel Yr 4'!M7:M34)</f>
        <v>0</v>
      </c>
      <c r="H11" s="76">
        <f>SUMIF('Personnel Yr 5'!H7:H34,"Senior Research Associate (Staff)",'Personnel Yr 5'!M7:M34)</f>
        <v>0</v>
      </c>
      <c r="I11" s="77">
        <f t="shared" ref="I11:I12" si="0">SUM(D11:H11)</f>
        <v>0</v>
      </c>
    </row>
    <row r="12" spans="1:9" x14ac:dyDescent="0.2">
      <c r="A12" s="731" t="s">
        <v>649</v>
      </c>
      <c r="B12" s="732"/>
      <c r="C12" s="75" t="s">
        <v>400</v>
      </c>
      <c r="D12" s="76">
        <f>SUMIF('Personnel Yr 1'!H7:H14,"Qualified Staff Non-Ph.D.",'Personnel Yr 1'!R7:R14) + SUMIF('Personnel Yr 1'!H20:H34,"Qualified Staff Non-Ph.D.",'Personnel Yr 1'!R20:R34)</f>
        <v>0</v>
      </c>
      <c r="E12" s="76">
        <f>SUMIF('Personnel Yr 2'!H7:H14,"Qualified Staff Non-Ph.D.",'Personnel Yr 2'!Q7:Q14) + SUMIF('Personnel Yr 2'!H20:H34,"Qualified Staff Non-Ph.D.",'Personnel Yr 2'!Q20:Q34)</f>
        <v>0</v>
      </c>
      <c r="F12" s="76">
        <f>SUMIF('Personnel Yr 3'!H7:H14,"Qualified Staff Non-Ph.D.",'Personnel Yr 3'!Q7:Q14) + SUMIF('Personnel Yr 3'!H20:H34,"Qualified Staff Non-Ph.D.",'Personnel Yr 3'!Q20:Q34)</f>
        <v>0</v>
      </c>
      <c r="G12" s="76">
        <f>SUMIF('Personnel Yr 4'!H7:H14,"Qualified Staff Non-Ph.D.",'Personnel Yr 4'!Q7:Q14) + SUMIF('Personnel Yr 4'!H20:H34,"Qualified Staff Non-Ph.D.",'Personnel Yr 4'!Q20:Q34)</f>
        <v>0</v>
      </c>
      <c r="H12" s="76">
        <f>SUMIF('Personnel Yr 5'!H7:H14,"Qualified Staff Non-Ph.D.",'Personnel Yr 5'!Q7:Q14) + SUMIF('Personnel Yr 5'!H20:H34,"Qualified Staff Non-Ph.D.",'Personnel Yr 5'!Q20:Q34)</f>
        <v>0</v>
      </c>
      <c r="I12" s="77">
        <f t="shared" si="0"/>
        <v>0</v>
      </c>
    </row>
    <row r="13" spans="1:9" ht="13.5" thickBot="1" x14ac:dyDescent="0.25">
      <c r="A13" s="705" t="s">
        <v>124</v>
      </c>
      <c r="B13" s="706"/>
      <c r="C13" s="78"/>
      <c r="D13" s="79">
        <f>SUM(D6:D12)</f>
        <v>0</v>
      </c>
      <c r="E13" s="79">
        <f t="shared" ref="E13:H13" si="1">SUM(E6:E12)</f>
        <v>0</v>
      </c>
      <c r="F13" s="79">
        <f t="shared" si="1"/>
        <v>0</v>
      </c>
      <c r="G13" s="79">
        <f t="shared" si="1"/>
        <v>0</v>
      </c>
      <c r="H13" s="79">
        <f t="shared" si="1"/>
        <v>0</v>
      </c>
      <c r="I13" s="79">
        <f>SUM(D13:H13)</f>
        <v>0</v>
      </c>
    </row>
    <row r="14" spans="1:9" ht="13.5" thickTop="1" x14ac:dyDescent="0.2">
      <c r="A14" s="80"/>
      <c r="B14" s="81"/>
      <c r="C14" s="81"/>
      <c r="D14" s="81"/>
      <c r="E14" s="81"/>
      <c r="F14" s="81"/>
      <c r="G14" s="81"/>
      <c r="H14" s="81"/>
      <c r="I14" s="81"/>
    </row>
    <row r="15" spans="1:9" ht="15" x14ac:dyDescent="0.25">
      <c r="A15" s="735" t="s">
        <v>125</v>
      </c>
      <c r="B15" s="736"/>
      <c r="C15" s="64"/>
      <c r="D15" s="64"/>
      <c r="E15" s="64"/>
      <c r="F15" s="64"/>
      <c r="G15" s="64"/>
      <c r="H15" s="64"/>
      <c r="I15" s="64"/>
    </row>
    <row r="16" spans="1:9" x14ac:dyDescent="0.2">
      <c r="A16" s="695" t="str">
        <f>CONCATENATE('Personnel Yr 1'!B7, IF(OR(ISBLANK('Personnel Yr 1'!B7),'Personnel Yr 1'!B7=""),""," "),'Personnel Yr 1'!C7, " ",'Personnel Yr 1'!D7,IF(OR(ISBLANK('Personnel Yr 1'!D7),'Personnel Yr 1'!D7=""),""," "),'Personnel Yr 1'!E7," ",'Personnel Yr 1'!F7)</f>
        <v xml:space="preserve">  </v>
      </c>
      <c r="B16" s="695"/>
      <c r="C16" s="66" t="s">
        <v>119</v>
      </c>
      <c r="D16" s="82" t="s">
        <v>32</v>
      </c>
      <c r="E16" s="82" t="s">
        <v>33</v>
      </c>
      <c r="F16" s="82" t="s">
        <v>34</v>
      </c>
      <c r="G16" s="82" t="s">
        <v>35</v>
      </c>
      <c r="H16" s="82" t="s">
        <v>36</v>
      </c>
      <c r="I16" s="67" t="s">
        <v>37</v>
      </c>
    </row>
    <row r="17" spans="1:9" x14ac:dyDescent="0.2">
      <c r="A17" s="83" t="str">
        <f>IF(ISBLANK('Personnel Yr 1'!G7),"",'Personnel Yr 1'!G7)</f>
        <v/>
      </c>
      <c r="B17" s="84" t="s">
        <v>126</v>
      </c>
      <c r="C17" s="84"/>
      <c r="D17" s="85">
        <f>SUM('Personnel Yr 1'!L7)</f>
        <v>0</v>
      </c>
      <c r="E17" s="85">
        <f>SUM('Personnel Yr 2'!L7)</f>
        <v>0</v>
      </c>
      <c r="F17" s="85">
        <f>SUM('Personnel Yr 3'!L7)</f>
        <v>0</v>
      </c>
      <c r="G17" s="85">
        <f>SUM('Personnel Yr 4'!L7)</f>
        <v>0</v>
      </c>
      <c r="H17" s="85">
        <f>SUM('Personnel Yr 5'!L7)</f>
        <v>0</v>
      </c>
      <c r="I17" s="85">
        <f>SUM(D17:H17)</f>
        <v>0</v>
      </c>
    </row>
    <row r="18" spans="1:9" x14ac:dyDescent="0.2">
      <c r="A18" s="86"/>
      <c r="B18" s="173" t="s">
        <v>127</v>
      </c>
      <c r="C18" s="173"/>
      <c r="D18" s="174">
        <f>D17/3.5</f>
        <v>0</v>
      </c>
      <c r="E18" s="174">
        <f>E17/3.5</f>
        <v>0</v>
      </c>
      <c r="F18" s="174">
        <f>F17/3.5</f>
        <v>0</v>
      </c>
      <c r="G18" s="174">
        <f>G17/3.5</f>
        <v>0</v>
      </c>
      <c r="H18" s="174">
        <f>H17/3.5</f>
        <v>0</v>
      </c>
      <c r="I18" s="175"/>
    </row>
    <row r="19" spans="1:9" x14ac:dyDescent="0.2">
      <c r="A19" s="87"/>
      <c r="B19" s="88" t="s">
        <v>128</v>
      </c>
      <c r="C19" s="88"/>
      <c r="D19" s="85">
        <f>SUM('Personnel Yr 1'!K7)</f>
        <v>0</v>
      </c>
      <c r="E19" s="85">
        <f>SUM('Personnel Yr 2'!K7)</f>
        <v>0</v>
      </c>
      <c r="F19" s="85">
        <f>SUM('Personnel Yr 3'!K7)</f>
        <v>0</v>
      </c>
      <c r="G19" s="85">
        <f>SUM('Personnel Yr 4'!K7)</f>
        <v>0</v>
      </c>
      <c r="H19" s="85">
        <f>SUM('Personnel Yr 5'!K7)</f>
        <v>0</v>
      </c>
      <c r="I19" s="85">
        <f>SUM(D19:H19)</f>
        <v>0</v>
      </c>
    </row>
    <row r="20" spans="1:9" x14ac:dyDescent="0.2">
      <c r="A20" s="87"/>
      <c r="B20" s="176" t="s">
        <v>129</v>
      </c>
      <c r="C20" s="176"/>
      <c r="D20" s="177">
        <f>D19/8.5</f>
        <v>0</v>
      </c>
      <c r="E20" s="177">
        <f>E19/8.5</f>
        <v>0</v>
      </c>
      <c r="F20" s="177">
        <f>F19/8.5</f>
        <v>0</v>
      </c>
      <c r="G20" s="177">
        <f>G19/8.5</f>
        <v>0</v>
      </c>
      <c r="H20" s="177">
        <f>H19/8.5</f>
        <v>0</v>
      </c>
      <c r="I20" s="178"/>
    </row>
    <row r="21" spans="1:9" x14ac:dyDescent="0.2">
      <c r="A21" s="87"/>
      <c r="B21" s="88" t="s">
        <v>130</v>
      </c>
      <c r="C21" s="88"/>
      <c r="D21" s="85">
        <f>SUM('Personnel Yr 1'!J7)</f>
        <v>0</v>
      </c>
      <c r="E21" s="85">
        <f>SUM('Personnel Yr 2'!J7)</f>
        <v>0</v>
      </c>
      <c r="F21" s="85">
        <f>SUM('Personnel Yr 3'!J7)</f>
        <v>0</v>
      </c>
      <c r="G21" s="85">
        <f>SUM('Personnel Yr 4'!J7)</f>
        <v>0</v>
      </c>
      <c r="H21" s="85">
        <f>SUM('Personnel Yr 5'!J7)</f>
        <v>0</v>
      </c>
      <c r="I21" s="85">
        <f>SUM(D21:H21)</f>
        <v>0</v>
      </c>
    </row>
    <row r="22" spans="1:9" x14ac:dyDescent="0.2">
      <c r="A22" s="87"/>
      <c r="B22" s="176" t="s">
        <v>131</v>
      </c>
      <c r="C22" s="176"/>
      <c r="D22" s="177">
        <f>D21/12</f>
        <v>0</v>
      </c>
      <c r="E22" s="177">
        <f>E21/12</f>
        <v>0</v>
      </c>
      <c r="F22" s="177">
        <f>F21/12</f>
        <v>0</v>
      </c>
      <c r="G22" s="177">
        <f>G21/12</f>
        <v>0</v>
      </c>
      <c r="H22" s="177">
        <f>H21/12</f>
        <v>0</v>
      </c>
      <c r="I22" s="179"/>
    </row>
    <row r="23" spans="1:9" x14ac:dyDescent="0.2">
      <c r="A23" s="693" t="str">
        <f>CONCATENATE('Personnel Yr 1'!B8, IF(OR(ISBLANK('Personnel Yr 1'!B8),'Personnel Yr 1'!B8=""),""," "),'Personnel Yr 1'!C8, " ",'Personnel Yr 1'!D8,IF(OR(ISBLANK('Personnel Yr 1'!D8),'Personnel Yr 1'!D8=""),""," "),'Personnel Yr 1'!E8," ",'Personnel Yr 1'!F8)</f>
        <v xml:space="preserve">  </v>
      </c>
      <c r="B23" s="694"/>
      <c r="C23" s="90"/>
      <c r="D23" s="91"/>
      <c r="E23" s="91"/>
      <c r="F23" s="91"/>
      <c r="G23" s="91"/>
      <c r="H23" s="91"/>
      <c r="I23" s="89"/>
    </row>
    <row r="24" spans="1:9" x14ac:dyDescent="0.2">
      <c r="A24" s="83" t="str">
        <f>IF(ISBLANK('Personnel Yr 1'!G8),"",'Personnel Yr 1'!G8)</f>
        <v/>
      </c>
      <c r="B24" s="84" t="s">
        <v>126</v>
      </c>
      <c r="C24" s="84"/>
      <c r="D24" s="85">
        <f>SUM('Personnel Yr 1'!L8)</f>
        <v>0</v>
      </c>
      <c r="E24" s="85">
        <f>SUM('Personnel Yr 2'!L8)</f>
        <v>0</v>
      </c>
      <c r="F24" s="85">
        <f>SUM('Personnel Yr 3'!L8)</f>
        <v>0</v>
      </c>
      <c r="G24" s="85">
        <f>SUM('Personnel Yr 4'!L8)</f>
        <v>0</v>
      </c>
      <c r="H24" s="85">
        <f>SUM('Personnel Yr 5'!L8)</f>
        <v>0</v>
      </c>
      <c r="I24" s="85">
        <f>SUM(D24:H24)</f>
        <v>0</v>
      </c>
    </row>
    <row r="25" spans="1:9" x14ac:dyDescent="0.2">
      <c r="A25" s="86"/>
      <c r="B25" s="180" t="s">
        <v>127</v>
      </c>
      <c r="C25" s="180"/>
      <c r="D25" s="174">
        <f>D24/3.5</f>
        <v>0</v>
      </c>
      <c r="E25" s="174">
        <f>E24/3.5</f>
        <v>0</v>
      </c>
      <c r="F25" s="174">
        <f>F24/3.5</f>
        <v>0</v>
      </c>
      <c r="G25" s="174">
        <f>G24/3.5</f>
        <v>0</v>
      </c>
      <c r="H25" s="174">
        <f>H24/3.5</f>
        <v>0</v>
      </c>
      <c r="I25" s="178"/>
    </row>
    <row r="26" spans="1:9" x14ac:dyDescent="0.2">
      <c r="A26" s="87"/>
      <c r="B26" s="88" t="s">
        <v>128</v>
      </c>
      <c r="C26" s="88"/>
      <c r="D26" s="85">
        <f>SUM('Personnel Yr 1'!K8)</f>
        <v>0</v>
      </c>
      <c r="E26" s="85">
        <f>SUM('Personnel Yr 2'!K8)</f>
        <v>0</v>
      </c>
      <c r="F26" s="85">
        <f>SUM('Personnel Yr 3'!K8)</f>
        <v>0</v>
      </c>
      <c r="G26" s="85">
        <f>SUM('Personnel Yr 4'!K8)</f>
        <v>0</v>
      </c>
      <c r="H26" s="85">
        <f>SUM('Personnel Yr 5'!K8)</f>
        <v>0</v>
      </c>
      <c r="I26" s="85">
        <f>SUM(D26:H26)</f>
        <v>0</v>
      </c>
    </row>
    <row r="27" spans="1:9" x14ac:dyDescent="0.2">
      <c r="A27" s="87"/>
      <c r="B27" s="176" t="s">
        <v>129</v>
      </c>
      <c r="C27" s="176"/>
      <c r="D27" s="177">
        <f>D26/8.5</f>
        <v>0</v>
      </c>
      <c r="E27" s="177">
        <f>E26/8.5</f>
        <v>0</v>
      </c>
      <c r="F27" s="177">
        <f>F26/8.5</f>
        <v>0</v>
      </c>
      <c r="G27" s="177">
        <f>G26/8.5</f>
        <v>0</v>
      </c>
      <c r="H27" s="177">
        <f>H26/8.5</f>
        <v>0</v>
      </c>
      <c r="I27" s="178"/>
    </row>
    <row r="28" spans="1:9" x14ac:dyDescent="0.2">
      <c r="A28" s="87"/>
      <c r="B28" s="88" t="s">
        <v>130</v>
      </c>
      <c r="C28" s="88"/>
      <c r="D28" s="85">
        <f>SUM('Personnel Yr 1'!J8)</f>
        <v>0</v>
      </c>
      <c r="E28" s="85">
        <f>SUM('Personnel Yr 2'!J8)</f>
        <v>0</v>
      </c>
      <c r="F28" s="85">
        <f>SUM('Personnel Yr 3'!J8)</f>
        <v>0</v>
      </c>
      <c r="G28" s="85">
        <f>SUM('Personnel Yr 4'!J8)</f>
        <v>0</v>
      </c>
      <c r="H28" s="85">
        <f>SUM('Personnel Yr 5'!J8)</f>
        <v>0</v>
      </c>
      <c r="I28" s="85">
        <f>SUM(D28:H28)</f>
        <v>0</v>
      </c>
    </row>
    <row r="29" spans="1:9" x14ac:dyDescent="0.2">
      <c r="A29" s="87"/>
      <c r="B29" s="176" t="s">
        <v>131</v>
      </c>
      <c r="C29" s="176"/>
      <c r="D29" s="177">
        <f>D28/12</f>
        <v>0</v>
      </c>
      <c r="E29" s="177">
        <f>E28/12</f>
        <v>0</v>
      </c>
      <c r="F29" s="177">
        <f>F28/12</f>
        <v>0</v>
      </c>
      <c r="G29" s="177">
        <f>G28/12</f>
        <v>0</v>
      </c>
      <c r="H29" s="177">
        <f>H28/12</f>
        <v>0</v>
      </c>
      <c r="I29" s="179"/>
    </row>
    <row r="30" spans="1:9" x14ac:dyDescent="0.2">
      <c r="A30" s="693" t="str">
        <f>CONCATENATE('Personnel Yr 1'!B9, IF(OR(ISBLANK('Personnel Yr 1'!B9),'Personnel Yr 1'!B9=""),""," "),'Personnel Yr 1'!C9, " ",'Personnel Yr 1'!D9,IF(OR(ISBLANK('Personnel Yr 1'!D9),'Personnel Yr 1'!D9=""),""," "),'Personnel Yr 1'!E9," ",'Personnel Yr 1'!F9)</f>
        <v xml:space="preserve">  </v>
      </c>
      <c r="B30" s="694"/>
      <c r="C30" s="90"/>
      <c r="D30" s="91"/>
      <c r="E30" s="91"/>
      <c r="F30" s="91"/>
      <c r="G30" s="91"/>
      <c r="H30" s="91"/>
      <c r="I30" s="89"/>
    </row>
    <row r="31" spans="1:9" x14ac:dyDescent="0.2">
      <c r="A31" s="86" t="str">
        <f>IF(ISBLANK('Personnel Yr 1'!G9),"",'Personnel Yr 1'!G9)</f>
        <v/>
      </c>
      <c r="B31" s="84" t="s">
        <v>126</v>
      </c>
      <c r="C31" s="84"/>
      <c r="D31" s="85">
        <f>SUM('Personnel Yr 1'!L9)</f>
        <v>0</v>
      </c>
      <c r="E31" s="85">
        <f>SUM('Personnel Yr 2'!L9)</f>
        <v>0</v>
      </c>
      <c r="F31" s="85">
        <f>SUM('Personnel Yr 3'!L9)</f>
        <v>0</v>
      </c>
      <c r="G31" s="85">
        <f>SUM('Personnel Yr 4'!L9)</f>
        <v>0</v>
      </c>
      <c r="H31" s="85">
        <f>SUM('Personnel Yr 5'!L9)</f>
        <v>0</v>
      </c>
      <c r="I31" s="85">
        <f>SUM(D31:H31)</f>
        <v>0</v>
      </c>
    </row>
    <row r="32" spans="1:9" x14ac:dyDescent="0.2">
      <c r="A32" s="86"/>
      <c r="B32" s="180" t="s">
        <v>127</v>
      </c>
      <c r="C32" s="180"/>
      <c r="D32" s="174">
        <f>D31/3.5</f>
        <v>0</v>
      </c>
      <c r="E32" s="174">
        <f>E31/3.5</f>
        <v>0</v>
      </c>
      <c r="F32" s="174">
        <f>F31/3.5</f>
        <v>0</v>
      </c>
      <c r="G32" s="174">
        <f>G31/3.5</f>
        <v>0</v>
      </c>
      <c r="H32" s="174">
        <f>H31/3.5</f>
        <v>0</v>
      </c>
      <c r="I32" s="178"/>
    </row>
    <row r="33" spans="1:9" x14ac:dyDescent="0.2">
      <c r="A33" s="87"/>
      <c r="B33" s="88" t="s">
        <v>128</v>
      </c>
      <c r="C33" s="88"/>
      <c r="D33" s="85">
        <f>SUM('Personnel Yr 1'!K9)</f>
        <v>0</v>
      </c>
      <c r="E33" s="85">
        <f>SUM('Personnel Yr 2'!K9)</f>
        <v>0</v>
      </c>
      <c r="F33" s="85">
        <f>SUM('Personnel Yr 3'!K9)</f>
        <v>0</v>
      </c>
      <c r="G33" s="85">
        <f>SUM('Personnel Yr 4'!K9)</f>
        <v>0</v>
      </c>
      <c r="H33" s="85">
        <f>SUM('Personnel Yr 5'!K9)</f>
        <v>0</v>
      </c>
      <c r="I33" s="85">
        <f>SUM(D33:H33)</f>
        <v>0</v>
      </c>
    </row>
    <row r="34" spans="1:9" x14ac:dyDescent="0.2">
      <c r="A34" s="87"/>
      <c r="B34" s="176" t="s">
        <v>129</v>
      </c>
      <c r="C34" s="176"/>
      <c r="D34" s="177">
        <f>D33/8.5</f>
        <v>0</v>
      </c>
      <c r="E34" s="177">
        <f>E33/8.5</f>
        <v>0</v>
      </c>
      <c r="F34" s="177">
        <f>F33/8.5</f>
        <v>0</v>
      </c>
      <c r="G34" s="177">
        <f>G33/8.5</f>
        <v>0</v>
      </c>
      <c r="H34" s="177">
        <f>H33/8.5</f>
        <v>0</v>
      </c>
      <c r="I34" s="178"/>
    </row>
    <row r="35" spans="1:9" x14ac:dyDescent="0.2">
      <c r="A35" s="87"/>
      <c r="B35" s="88" t="s">
        <v>130</v>
      </c>
      <c r="C35" s="88"/>
      <c r="D35" s="85">
        <f>SUM('Personnel Yr 1'!J9)</f>
        <v>0</v>
      </c>
      <c r="E35" s="85">
        <f>SUM('Personnel Yr 2'!J9)</f>
        <v>0</v>
      </c>
      <c r="F35" s="85">
        <f>SUM('Personnel Yr 3'!J9)</f>
        <v>0</v>
      </c>
      <c r="G35" s="85">
        <f>SUM('Personnel Yr 4'!J9)</f>
        <v>0</v>
      </c>
      <c r="H35" s="85">
        <f>SUM('Personnel Yr 5'!J9)</f>
        <v>0</v>
      </c>
      <c r="I35" s="85">
        <f>SUM(D35:H35)</f>
        <v>0</v>
      </c>
    </row>
    <row r="36" spans="1:9" x14ac:dyDescent="0.2">
      <c r="A36" s="87"/>
      <c r="B36" s="176" t="s">
        <v>131</v>
      </c>
      <c r="C36" s="176"/>
      <c r="D36" s="177">
        <f>D35/12</f>
        <v>0</v>
      </c>
      <c r="E36" s="177">
        <f>E35/12</f>
        <v>0</v>
      </c>
      <c r="F36" s="177">
        <f>F35/12</f>
        <v>0</v>
      </c>
      <c r="G36" s="177">
        <f>G35/12</f>
        <v>0</v>
      </c>
      <c r="H36" s="177">
        <f>H35/12</f>
        <v>0</v>
      </c>
      <c r="I36" s="179"/>
    </row>
    <row r="37" spans="1:9" x14ac:dyDescent="0.2">
      <c r="A37" s="693" t="str">
        <f>CONCATENATE('Personnel Yr 1'!B10, IF(OR(ISBLANK('Personnel Yr 1'!B10),'Personnel Yr 1'!B10=""),""," "),'Personnel Yr 1'!C10, " ",'Personnel Yr 1'!D10,IF(OR(ISBLANK('Personnel Yr 1'!D10),'Personnel Yr 1'!D10=""),""," "),'Personnel Yr 1'!E10," ",'Personnel Yr 1'!F10)</f>
        <v xml:space="preserve">  </v>
      </c>
      <c r="B37" s="694"/>
      <c r="C37" s="90"/>
      <c r="D37" s="91"/>
      <c r="E37" s="91"/>
      <c r="F37" s="91"/>
      <c r="G37" s="91"/>
      <c r="H37" s="91"/>
      <c r="I37" s="89"/>
    </row>
    <row r="38" spans="1:9" x14ac:dyDescent="0.2">
      <c r="A38" s="86" t="str">
        <f>IF(ISBLANK('Personnel Yr 1'!G10),"",'Personnel Yr 1'!G10)</f>
        <v/>
      </c>
      <c r="B38" s="84" t="s">
        <v>126</v>
      </c>
      <c r="C38" s="84"/>
      <c r="D38" s="85">
        <f>SUM('Personnel Yr 1'!L10)</f>
        <v>0</v>
      </c>
      <c r="E38" s="85">
        <f>SUM('Personnel Yr 2'!L10)</f>
        <v>0</v>
      </c>
      <c r="F38" s="85">
        <f>SUM('Personnel Yr 3'!L10)</f>
        <v>0</v>
      </c>
      <c r="G38" s="85">
        <f>SUM('Personnel Yr 4'!L10)</f>
        <v>0</v>
      </c>
      <c r="H38" s="85">
        <f>SUM('Personnel Yr 5'!L10)</f>
        <v>0</v>
      </c>
      <c r="I38" s="85">
        <f>SUM(D38:H38)</f>
        <v>0</v>
      </c>
    </row>
    <row r="39" spans="1:9" x14ac:dyDescent="0.2">
      <c r="A39" s="86"/>
      <c r="B39" s="180" t="s">
        <v>127</v>
      </c>
      <c r="C39" s="180"/>
      <c r="D39" s="174">
        <f>D38/3.5</f>
        <v>0</v>
      </c>
      <c r="E39" s="174">
        <f>E38/3.5</f>
        <v>0</v>
      </c>
      <c r="F39" s="174">
        <f>F38/3.5</f>
        <v>0</v>
      </c>
      <c r="G39" s="174">
        <f>G38/3.5</f>
        <v>0</v>
      </c>
      <c r="H39" s="174">
        <f>H38/3.5</f>
        <v>0</v>
      </c>
      <c r="I39" s="178"/>
    </row>
    <row r="40" spans="1:9" x14ac:dyDescent="0.2">
      <c r="A40" s="87"/>
      <c r="B40" s="88" t="s">
        <v>128</v>
      </c>
      <c r="C40" s="88"/>
      <c r="D40" s="85">
        <f>SUM('Personnel Yr 1'!K10)</f>
        <v>0</v>
      </c>
      <c r="E40" s="85">
        <f>SUM('Personnel Yr 2'!K10)</f>
        <v>0</v>
      </c>
      <c r="F40" s="85">
        <f>SUM('Personnel Yr 3'!K10)</f>
        <v>0</v>
      </c>
      <c r="G40" s="85">
        <f>SUM('Personnel Yr 4'!K10)</f>
        <v>0</v>
      </c>
      <c r="H40" s="85">
        <f>SUM('Personnel Yr 5'!K10)</f>
        <v>0</v>
      </c>
      <c r="I40" s="85">
        <f>SUM(D40:H40)</f>
        <v>0</v>
      </c>
    </row>
    <row r="41" spans="1:9" x14ac:dyDescent="0.2">
      <c r="A41" s="87"/>
      <c r="B41" s="176" t="s">
        <v>129</v>
      </c>
      <c r="C41" s="176"/>
      <c r="D41" s="177">
        <f>D40/8.5</f>
        <v>0</v>
      </c>
      <c r="E41" s="177">
        <f>E40/8.5</f>
        <v>0</v>
      </c>
      <c r="F41" s="177">
        <f>F40/8.5</f>
        <v>0</v>
      </c>
      <c r="G41" s="177">
        <f>G40/8.5</f>
        <v>0</v>
      </c>
      <c r="H41" s="177">
        <f>H40/8.5</f>
        <v>0</v>
      </c>
      <c r="I41" s="178"/>
    </row>
    <row r="42" spans="1:9" x14ac:dyDescent="0.2">
      <c r="A42" s="87"/>
      <c r="B42" s="88" t="s">
        <v>130</v>
      </c>
      <c r="C42" s="88"/>
      <c r="D42" s="85">
        <f>SUM('Personnel Yr 1'!J10)</f>
        <v>0</v>
      </c>
      <c r="E42" s="85">
        <f>SUM('Personnel Yr 2'!J10)</f>
        <v>0</v>
      </c>
      <c r="F42" s="85">
        <f>SUM('Personnel Yr 3'!J10)</f>
        <v>0</v>
      </c>
      <c r="G42" s="85">
        <f>SUM('Personnel Yr 4'!J10)</f>
        <v>0</v>
      </c>
      <c r="H42" s="85">
        <f>SUM('Personnel Yr 5'!J10)</f>
        <v>0</v>
      </c>
      <c r="I42" s="85">
        <f>SUM(D42:H42)</f>
        <v>0</v>
      </c>
    </row>
    <row r="43" spans="1:9" x14ac:dyDescent="0.2">
      <c r="A43" s="87"/>
      <c r="B43" s="176" t="s">
        <v>131</v>
      </c>
      <c r="C43" s="176"/>
      <c r="D43" s="177">
        <f>D42/12</f>
        <v>0</v>
      </c>
      <c r="E43" s="177">
        <f>E42/12</f>
        <v>0</v>
      </c>
      <c r="F43" s="177">
        <f>F42/12</f>
        <v>0</v>
      </c>
      <c r="G43" s="177">
        <f>G42/12</f>
        <v>0</v>
      </c>
      <c r="H43" s="177">
        <f>H42/12</f>
        <v>0</v>
      </c>
      <c r="I43" s="179"/>
    </row>
    <row r="44" spans="1:9" x14ac:dyDescent="0.2">
      <c r="A44" s="693" t="str">
        <f>CONCATENATE('Personnel Yr 1'!B11, IF(OR(ISBLANK('Personnel Yr 1'!B11),'Personnel Yr 1'!B11=""),""," "),'Personnel Yr 1'!C11, " ",'Personnel Yr 1'!D11,IF(OR(ISBLANK('Personnel Yr 1'!D11),'Personnel Yr 1'!D11=""),""," "),'Personnel Yr 1'!E11," ",'Personnel Yr 1'!F11)</f>
        <v xml:space="preserve">  </v>
      </c>
      <c r="B44" s="694"/>
      <c r="C44" s="90"/>
      <c r="D44" s="91"/>
      <c r="E44" s="91"/>
      <c r="F44" s="91"/>
      <c r="G44" s="91"/>
      <c r="H44" s="91"/>
      <c r="I44" s="89"/>
    </row>
    <row r="45" spans="1:9" x14ac:dyDescent="0.2">
      <c r="A45" s="86" t="str">
        <f>IF(ISBLANK('Personnel Yr 1'!G11),"",'Personnel Yr 1'!G11)</f>
        <v/>
      </c>
      <c r="B45" s="84" t="s">
        <v>126</v>
      </c>
      <c r="C45" s="84"/>
      <c r="D45" s="85">
        <f>SUM('Personnel Yr 1'!L11)</f>
        <v>0</v>
      </c>
      <c r="E45" s="85">
        <f>SUM('Personnel Yr 2'!L11)</f>
        <v>0</v>
      </c>
      <c r="F45" s="85">
        <f>SUM('Personnel Yr 3'!L11)</f>
        <v>0</v>
      </c>
      <c r="G45" s="85">
        <f>SUM('Personnel Yr 4'!L11)</f>
        <v>0</v>
      </c>
      <c r="H45" s="85">
        <f>SUM('Personnel Yr 5'!L11)</f>
        <v>0</v>
      </c>
      <c r="I45" s="85">
        <f>SUM(D45:H45)</f>
        <v>0</v>
      </c>
    </row>
    <row r="46" spans="1:9" x14ac:dyDescent="0.2">
      <c r="A46" s="86"/>
      <c r="B46" s="180" t="s">
        <v>127</v>
      </c>
      <c r="C46" s="180"/>
      <c r="D46" s="174">
        <f>D45/3.5</f>
        <v>0</v>
      </c>
      <c r="E46" s="174">
        <f>E45/3.5</f>
        <v>0</v>
      </c>
      <c r="F46" s="174">
        <f>F45/3.5</f>
        <v>0</v>
      </c>
      <c r="G46" s="174">
        <f>G45/3.5</f>
        <v>0</v>
      </c>
      <c r="H46" s="174">
        <f>H45/3.5</f>
        <v>0</v>
      </c>
      <c r="I46" s="178"/>
    </row>
    <row r="47" spans="1:9" x14ac:dyDescent="0.2">
      <c r="A47" s="87"/>
      <c r="B47" s="88" t="s">
        <v>128</v>
      </c>
      <c r="C47" s="88"/>
      <c r="D47" s="85">
        <f>'Personnel Yr 1'!K11</f>
        <v>0</v>
      </c>
      <c r="E47" s="85">
        <f>SUM('Personnel Yr 2'!K11)</f>
        <v>0</v>
      </c>
      <c r="F47" s="85">
        <f>SUM('Personnel Yr 3'!K11)</f>
        <v>0</v>
      </c>
      <c r="G47" s="85">
        <f>SUM('Personnel Yr 4'!K11)</f>
        <v>0</v>
      </c>
      <c r="H47" s="85">
        <f>SUM('Personnel Yr 5'!K11)</f>
        <v>0</v>
      </c>
      <c r="I47" s="85">
        <f>SUM(D47:H47)</f>
        <v>0</v>
      </c>
    </row>
    <row r="48" spans="1:9" x14ac:dyDescent="0.2">
      <c r="A48" s="87"/>
      <c r="B48" s="176" t="s">
        <v>129</v>
      </c>
      <c r="C48" s="176"/>
      <c r="D48" s="177">
        <f>D47/8.5</f>
        <v>0</v>
      </c>
      <c r="E48" s="177">
        <f>E47/8.5</f>
        <v>0</v>
      </c>
      <c r="F48" s="177">
        <f>F47/8.5</f>
        <v>0</v>
      </c>
      <c r="G48" s="177">
        <f>G47/8.5</f>
        <v>0</v>
      </c>
      <c r="H48" s="177">
        <f>H47/8.5</f>
        <v>0</v>
      </c>
      <c r="I48" s="178"/>
    </row>
    <row r="49" spans="1:9" x14ac:dyDescent="0.2">
      <c r="A49" s="87"/>
      <c r="B49" s="88" t="s">
        <v>130</v>
      </c>
      <c r="C49" s="88"/>
      <c r="D49" s="85">
        <f>SUM('Personnel Yr 1'!J11)</f>
        <v>0</v>
      </c>
      <c r="E49" s="85">
        <f>SUM('Personnel Yr 2'!J11)</f>
        <v>0</v>
      </c>
      <c r="F49" s="85">
        <f>SUM('Personnel Yr 3'!J11)</f>
        <v>0</v>
      </c>
      <c r="G49" s="85">
        <f>SUM('Personnel Yr 4'!J11)</f>
        <v>0</v>
      </c>
      <c r="H49" s="85">
        <f>SUM('Personnel Yr 5'!J11)</f>
        <v>0</v>
      </c>
      <c r="I49" s="85">
        <f>SUM(D49:H49)</f>
        <v>0</v>
      </c>
    </row>
    <row r="50" spans="1:9" x14ac:dyDescent="0.2">
      <c r="A50" s="146"/>
      <c r="B50" s="176" t="s">
        <v>131</v>
      </c>
      <c r="C50" s="176"/>
      <c r="D50" s="177">
        <f>D49/12</f>
        <v>0</v>
      </c>
      <c r="E50" s="177">
        <f>E49/12</f>
        <v>0</v>
      </c>
      <c r="F50" s="177">
        <f>F49/12</f>
        <v>0</v>
      </c>
      <c r="G50" s="177">
        <f>G49/12</f>
        <v>0</v>
      </c>
      <c r="H50" s="177">
        <f>H49/12</f>
        <v>0</v>
      </c>
      <c r="I50" s="179"/>
    </row>
    <row r="51" spans="1:9" x14ac:dyDescent="0.2">
      <c r="A51" s="696" t="str">
        <f>CONCATENATE('Personnel Yr 1'!B12, IF(OR(ISBLANK('Personnel Yr 1'!B12),'Personnel Yr 1'!B12=""),""," "),'Personnel Yr 1'!C12, " ",'Personnel Yr 1'!D12,IF(OR(ISBLANK('Personnel Yr 1'!D12),'Personnel Yr 1'!D12=""),""," "),'Personnel Yr 1'!E12," ",'Personnel Yr 1'!F12)</f>
        <v xml:space="preserve">  </v>
      </c>
      <c r="B51" s="695"/>
      <c r="C51" s="90"/>
      <c r="D51" s="91"/>
      <c r="E51" s="91"/>
      <c r="F51" s="91"/>
      <c r="G51" s="91"/>
      <c r="H51" s="91"/>
      <c r="I51" s="89"/>
    </row>
    <row r="52" spans="1:9" x14ac:dyDescent="0.2">
      <c r="A52" s="83" t="str">
        <f>IF(ISBLANK('Personnel Yr 1'!G12),"",'Personnel Yr 1'!G12)</f>
        <v/>
      </c>
      <c r="B52" s="84" t="s">
        <v>126</v>
      </c>
      <c r="C52" s="84"/>
      <c r="D52" s="85">
        <f>SUM('Personnel Yr 1'!L12)</f>
        <v>0</v>
      </c>
      <c r="E52" s="85">
        <f>SUM('Personnel Yr 2'!L12)</f>
        <v>0</v>
      </c>
      <c r="F52" s="85">
        <f>SUM('Personnel Yr 3'!L12)</f>
        <v>0</v>
      </c>
      <c r="G52" s="85">
        <f>SUM('Personnel Yr 4'!L12)</f>
        <v>0</v>
      </c>
      <c r="H52" s="85">
        <f>SUM('Personnel Yr 4'!L12)</f>
        <v>0</v>
      </c>
      <c r="I52" s="85">
        <f>SUM(D52:H52)</f>
        <v>0</v>
      </c>
    </row>
    <row r="53" spans="1:9" x14ac:dyDescent="0.2">
      <c r="A53" s="86"/>
      <c r="B53" s="180" t="s">
        <v>127</v>
      </c>
      <c r="C53" s="180"/>
      <c r="D53" s="174">
        <f>D52/3.5</f>
        <v>0</v>
      </c>
      <c r="E53" s="174">
        <f>E52/3.5</f>
        <v>0</v>
      </c>
      <c r="F53" s="174">
        <f>F52/3.5</f>
        <v>0</v>
      </c>
      <c r="G53" s="174">
        <f>G52/3.5</f>
        <v>0</v>
      </c>
      <c r="H53" s="174">
        <f>H52/3.5</f>
        <v>0</v>
      </c>
      <c r="I53" s="178"/>
    </row>
    <row r="54" spans="1:9" x14ac:dyDescent="0.2">
      <c r="A54" s="87"/>
      <c r="B54" s="88" t="s">
        <v>128</v>
      </c>
      <c r="C54" s="88"/>
      <c r="D54" s="85">
        <f>SUM('Personnel Yr 1'!K12)</f>
        <v>0</v>
      </c>
      <c r="E54" s="85">
        <f>SUM('Personnel Yr 2'!K12)</f>
        <v>0</v>
      </c>
      <c r="F54" s="85">
        <f>SUM('Personnel Yr 3'!K12)</f>
        <v>0</v>
      </c>
      <c r="G54" s="85">
        <f>SUM('Personnel Yr 4'!K12)</f>
        <v>0</v>
      </c>
      <c r="H54" s="85">
        <f>SUM('Personnel Yr 5'!K12)</f>
        <v>0</v>
      </c>
      <c r="I54" s="85">
        <f>SUM(D54:H54)</f>
        <v>0</v>
      </c>
    </row>
    <row r="55" spans="1:9" x14ac:dyDescent="0.2">
      <c r="A55" s="87"/>
      <c r="B55" s="176" t="s">
        <v>129</v>
      </c>
      <c r="C55" s="176"/>
      <c r="D55" s="177">
        <f>D54/8.5</f>
        <v>0</v>
      </c>
      <c r="E55" s="177">
        <f>E54/8.5</f>
        <v>0</v>
      </c>
      <c r="F55" s="177">
        <f>F54/8.5</f>
        <v>0</v>
      </c>
      <c r="G55" s="177">
        <f>G54/8.5</f>
        <v>0</v>
      </c>
      <c r="H55" s="177">
        <f>H54/8.5</f>
        <v>0</v>
      </c>
      <c r="I55" s="178"/>
    </row>
    <row r="56" spans="1:9" x14ac:dyDescent="0.2">
      <c r="A56" s="87"/>
      <c r="B56" s="88" t="s">
        <v>130</v>
      </c>
      <c r="C56" s="88"/>
      <c r="D56" s="85">
        <f>SUM('Personnel Yr 1'!J12)</f>
        <v>0</v>
      </c>
      <c r="E56" s="85">
        <f>SUM('Personnel Yr 2'!J12)</f>
        <v>0</v>
      </c>
      <c r="F56" s="85">
        <f>SUM('Personnel Yr 3'!J12)</f>
        <v>0</v>
      </c>
      <c r="G56" s="85">
        <f>SUM('Personnel Yr 4'!J12)</f>
        <v>0</v>
      </c>
      <c r="H56" s="85">
        <f>SUM('Personnel Yr 5'!J12)</f>
        <v>0</v>
      </c>
      <c r="I56" s="85">
        <f>SUM(D56:H56)</f>
        <v>0</v>
      </c>
    </row>
    <row r="57" spans="1:9" x14ac:dyDescent="0.2">
      <c r="A57" s="146"/>
      <c r="B57" s="176" t="s">
        <v>131</v>
      </c>
      <c r="C57" s="176"/>
      <c r="D57" s="177">
        <f>D56/12</f>
        <v>0</v>
      </c>
      <c r="E57" s="177">
        <f>E56/12</f>
        <v>0</v>
      </c>
      <c r="F57" s="177">
        <f>F56/12</f>
        <v>0</v>
      </c>
      <c r="G57" s="177">
        <f>G56/12</f>
        <v>0</v>
      </c>
      <c r="H57" s="177">
        <f>H56/12</f>
        <v>0</v>
      </c>
      <c r="I57" s="181"/>
    </row>
    <row r="58" spans="1:9" x14ac:dyDescent="0.2">
      <c r="A58" s="696" t="str">
        <f>CONCATENATE('Personnel Yr 1'!B13, IF(OR(ISBLANK('Personnel Yr 1'!B13),'Personnel Yr 1'!B13=""),""," "),'Personnel Yr 1'!C13, " ",'Personnel Yr 1'!D13,IF(OR(ISBLANK('Personnel Yr 1'!D13),'Personnel Yr 1'!D13=""),""," "),'Personnel Yr 1'!E13," ",'Personnel Yr 1'!F13)</f>
        <v xml:space="preserve">  </v>
      </c>
      <c r="B58" s="695"/>
      <c r="C58" s="90"/>
      <c r="D58" s="93"/>
      <c r="E58" s="93"/>
      <c r="F58" s="93"/>
      <c r="G58" s="93"/>
      <c r="H58" s="145"/>
      <c r="I58" s="144"/>
    </row>
    <row r="59" spans="1:9" x14ac:dyDescent="0.2">
      <c r="A59" s="83" t="str">
        <f>IF(ISBLANK('Personnel Yr 1'!G13),"",'Personnel Yr 1'!G13)</f>
        <v/>
      </c>
      <c r="B59" s="84" t="s">
        <v>126</v>
      </c>
      <c r="C59" s="84"/>
      <c r="D59" s="85">
        <f>SUM('Personnel Yr 1'!L13)</f>
        <v>0</v>
      </c>
      <c r="E59" s="85">
        <f>SUM('Personnel Yr 2'!L13)</f>
        <v>0</v>
      </c>
      <c r="F59" s="85">
        <f>SUM('Personnel Yr 3'!L13)</f>
        <v>0</v>
      </c>
      <c r="G59" s="85">
        <f>SUM('Personnel Yr 4'!L13)</f>
        <v>0</v>
      </c>
      <c r="H59" s="85">
        <f>SUM('Personnel Yr 5'!L13)</f>
        <v>0</v>
      </c>
      <c r="I59" s="85">
        <f>SUM(D59:H59)</f>
        <v>0</v>
      </c>
    </row>
    <row r="60" spans="1:9" x14ac:dyDescent="0.2">
      <c r="A60" s="86"/>
      <c r="B60" s="180" t="s">
        <v>127</v>
      </c>
      <c r="C60" s="180"/>
      <c r="D60" s="174">
        <f>D59/3.5</f>
        <v>0</v>
      </c>
      <c r="E60" s="174">
        <f>E59/3.5</f>
        <v>0</v>
      </c>
      <c r="F60" s="174">
        <f>F59/3.5</f>
        <v>0</v>
      </c>
      <c r="G60" s="174">
        <f>G59/3.5</f>
        <v>0</v>
      </c>
      <c r="H60" s="174">
        <f>H59/3.5</f>
        <v>0</v>
      </c>
      <c r="I60" s="178"/>
    </row>
    <row r="61" spans="1:9" x14ac:dyDescent="0.2">
      <c r="A61" s="87"/>
      <c r="B61" s="88" t="s">
        <v>128</v>
      </c>
      <c r="C61" s="88"/>
      <c r="D61" s="85">
        <f>SUM('Personnel Yr 1'!K13)</f>
        <v>0</v>
      </c>
      <c r="E61" s="85">
        <f>SUM('Personnel Yr 2'!K13)</f>
        <v>0</v>
      </c>
      <c r="F61" s="85">
        <f>SUM('Personnel Yr 3'!K13)</f>
        <v>0</v>
      </c>
      <c r="G61" s="85">
        <f>SUM('Personnel Yr 4'!K13)</f>
        <v>0</v>
      </c>
      <c r="H61" s="85">
        <f>SUM('Personnel Yr 5'!K13)</f>
        <v>0</v>
      </c>
      <c r="I61" s="85">
        <f>SUM(D61:H61)</f>
        <v>0</v>
      </c>
    </row>
    <row r="62" spans="1:9" x14ac:dyDescent="0.2">
      <c r="A62" s="87"/>
      <c r="B62" s="176" t="s">
        <v>129</v>
      </c>
      <c r="C62" s="176"/>
      <c r="D62" s="177">
        <f>D61/8.5</f>
        <v>0</v>
      </c>
      <c r="E62" s="177">
        <f>E61/8.5</f>
        <v>0</v>
      </c>
      <c r="F62" s="177">
        <f>F61/8.5</f>
        <v>0</v>
      </c>
      <c r="G62" s="177">
        <f>G61/8.5</f>
        <v>0</v>
      </c>
      <c r="H62" s="177">
        <f>H61/8.5</f>
        <v>0</v>
      </c>
      <c r="I62" s="178"/>
    </row>
    <row r="63" spans="1:9" x14ac:dyDescent="0.2">
      <c r="A63" s="87"/>
      <c r="B63" s="88" t="s">
        <v>130</v>
      </c>
      <c r="C63" s="88"/>
      <c r="D63" s="85">
        <f>SUM('Personnel Yr 1'!J13)</f>
        <v>0</v>
      </c>
      <c r="E63" s="85">
        <f>SUM('Personnel Yr 2'!J13)</f>
        <v>0</v>
      </c>
      <c r="F63" s="85">
        <f>SUM('Personnel Yr 3'!J13)</f>
        <v>0</v>
      </c>
      <c r="G63" s="85">
        <f>SUM('Personnel Yr 4'!J13)</f>
        <v>0</v>
      </c>
      <c r="H63" s="85">
        <f>SUM('Personnel Yr 5'!J13)</f>
        <v>0</v>
      </c>
      <c r="I63" s="85">
        <f>SUM(D63:H63)</f>
        <v>0</v>
      </c>
    </row>
    <row r="64" spans="1:9" x14ac:dyDescent="0.2">
      <c r="A64" s="146"/>
      <c r="B64" s="176" t="s">
        <v>131</v>
      </c>
      <c r="C64" s="176"/>
      <c r="D64" s="177">
        <f>D63/12</f>
        <v>0</v>
      </c>
      <c r="E64" s="177">
        <f>E63/12</f>
        <v>0</v>
      </c>
      <c r="F64" s="177">
        <f>F63/12</f>
        <v>0</v>
      </c>
      <c r="G64" s="177">
        <f>G63/12</f>
        <v>0</v>
      </c>
      <c r="H64" s="177">
        <f>H63/12</f>
        <v>0</v>
      </c>
      <c r="I64" s="179"/>
    </row>
    <row r="65" spans="1:9" x14ac:dyDescent="0.2">
      <c r="A65" s="696" t="str">
        <f>CONCATENATE('Personnel Yr 1'!B14, IF(OR(ISBLANK('Personnel Yr 1'!B14),'Personnel Yr 1'!B14=""),""," "),'Personnel Yr 1'!C14, " ",'Personnel Yr 1'!D14,IF(OR(ISBLANK('Personnel Yr 1'!D14),'Personnel Yr 1'!D14=""),""," "),'Personnel Yr 1'!E14," ",'Personnel Yr 1'!F14)</f>
        <v xml:space="preserve">  </v>
      </c>
      <c r="B65" s="695"/>
      <c r="C65" s="90"/>
      <c r="D65" s="91"/>
      <c r="E65" s="91"/>
      <c r="F65" s="91"/>
      <c r="G65" s="91"/>
      <c r="H65" s="91"/>
      <c r="I65" s="89"/>
    </row>
    <row r="66" spans="1:9" x14ac:dyDescent="0.2">
      <c r="A66" s="83" t="str">
        <f>IF(ISBLANK('Personnel Yr 1'!G14),"",'Personnel Yr 1'!G14)</f>
        <v/>
      </c>
      <c r="B66" s="84" t="s">
        <v>126</v>
      </c>
      <c r="C66" s="84"/>
      <c r="D66" s="85">
        <f>SUM('Personnel Yr 1'!L14)</f>
        <v>0</v>
      </c>
      <c r="E66" s="85">
        <f>SUM('Personnel Yr 2'!L14)</f>
        <v>0</v>
      </c>
      <c r="F66" s="85">
        <f>SUM('Personnel Yr 3'!L14)</f>
        <v>0</v>
      </c>
      <c r="G66" s="85">
        <f>SUM('Personnel Yr 4'!L14)</f>
        <v>0</v>
      </c>
      <c r="H66" s="85">
        <f>SUM('Personnel Yr 5'!L14)</f>
        <v>0</v>
      </c>
      <c r="I66" s="85">
        <f>SUM(D66:H66)</f>
        <v>0</v>
      </c>
    </row>
    <row r="67" spans="1:9" x14ac:dyDescent="0.2">
      <c r="A67" s="86"/>
      <c r="B67" s="180" t="s">
        <v>127</v>
      </c>
      <c r="C67" s="180"/>
      <c r="D67" s="174">
        <f>D66/3.5</f>
        <v>0</v>
      </c>
      <c r="E67" s="174">
        <f>E66/3.5</f>
        <v>0</v>
      </c>
      <c r="F67" s="174">
        <f>F66/3.5</f>
        <v>0</v>
      </c>
      <c r="G67" s="174">
        <f>G66/3.5</f>
        <v>0</v>
      </c>
      <c r="H67" s="174">
        <f>H66/3.5</f>
        <v>0</v>
      </c>
      <c r="I67" s="178"/>
    </row>
    <row r="68" spans="1:9" x14ac:dyDescent="0.2">
      <c r="A68" s="87"/>
      <c r="B68" s="88" t="s">
        <v>128</v>
      </c>
      <c r="C68" s="88"/>
      <c r="D68" s="85">
        <f>SUM('Personnel Yr 1'!K14)</f>
        <v>0</v>
      </c>
      <c r="E68" s="85">
        <f>SUM('Personnel Yr 2'!K14)</f>
        <v>0</v>
      </c>
      <c r="F68" s="85">
        <f>SUM('Personnel Yr 3'!K14)</f>
        <v>0</v>
      </c>
      <c r="G68" s="85">
        <f>SUM('Personnel Yr 4'!K14)</f>
        <v>0</v>
      </c>
      <c r="H68" s="85">
        <f>SUM('Personnel Yr 5'!K14)</f>
        <v>0</v>
      </c>
      <c r="I68" s="85">
        <f>SUM(D68:H68)</f>
        <v>0</v>
      </c>
    </row>
    <row r="69" spans="1:9" x14ac:dyDescent="0.2">
      <c r="A69" s="87"/>
      <c r="B69" s="176" t="s">
        <v>129</v>
      </c>
      <c r="C69" s="176"/>
      <c r="D69" s="177">
        <f>D68/8.5</f>
        <v>0</v>
      </c>
      <c r="E69" s="177">
        <f>E68/8.5</f>
        <v>0</v>
      </c>
      <c r="F69" s="177">
        <f>F68/8.5</f>
        <v>0</v>
      </c>
      <c r="G69" s="177">
        <f>G68/8.5</f>
        <v>0</v>
      </c>
      <c r="H69" s="177">
        <f>H68/8.5</f>
        <v>0</v>
      </c>
      <c r="I69" s="178"/>
    </row>
    <row r="70" spans="1:9" x14ac:dyDescent="0.2">
      <c r="A70" s="87"/>
      <c r="B70" s="88" t="s">
        <v>130</v>
      </c>
      <c r="C70" s="88"/>
      <c r="D70" s="85">
        <f>SUM('Personnel Yr 1'!J14)</f>
        <v>0</v>
      </c>
      <c r="E70" s="85">
        <f>SUM('Personnel Yr 2'!J14)</f>
        <v>0</v>
      </c>
      <c r="F70" s="85">
        <f>SUM('Personnel Yr 3'!J14)</f>
        <v>0</v>
      </c>
      <c r="G70" s="85">
        <f>SUM('Personnel Yr 4'!J14)</f>
        <v>0</v>
      </c>
      <c r="H70" s="85">
        <f>SUM('Personnel Yr 5'!J14)</f>
        <v>0</v>
      </c>
      <c r="I70" s="85">
        <f>SUM(D70:H70)</f>
        <v>0</v>
      </c>
    </row>
    <row r="71" spans="1:9" ht="13.5" thickBot="1" x14ac:dyDescent="0.25">
      <c r="A71" s="92"/>
      <c r="B71" s="182" t="s">
        <v>131</v>
      </c>
      <c r="C71" s="182"/>
      <c r="D71" s="183">
        <f>D70/12</f>
        <v>0</v>
      </c>
      <c r="E71" s="183">
        <f>E70/12</f>
        <v>0</v>
      </c>
      <c r="F71" s="183">
        <f>F70/12</f>
        <v>0</v>
      </c>
      <c r="G71" s="183">
        <f>G70/12</f>
        <v>0</v>
      </c>
      <c r="H71" s="183">
        <f>H70/12</f>
        <v>0</v>
      </c>
      <c r="I71" s="184"/>
    </row>
    <row r="72" spans="1:9" ht="13.5" thickTop="1" x14ac:dyDescent="0.2">
      <c r="A72" s="8"/>
      <c r="B72" s="94"/>
      <c r="C72" s="94"/>
      <c r="D72" s="94"/>
      <c r="E72" s="94"/>
      <c r="F72" s="94"/>
      <c r="G72" s="94"/>
      <c r="H72" s="94"/>
      <c r="I72" s="94"/>
    </row>
    <row r="73" spans="1:9" x14ac:dyDescent="0.2">
      <c r="A73" s="701" t="s">
        <v>132</v>
      </c>
      <c r="B73" s="701"/>
      <c r="C73" s="66" t="s">
        <v>119</v>
      </c>
      <c r="D73" s="82" t="s">
        <v>32</v>
      </c>
      <c r="E73" s="82" t="s">
        <v>33</v>
      </c>
      <c r="F73" s="82" t="s">
        <v>34</v>
      </c>
      <c r="G73" s="82" t="s">
        <v>35</v>
      </c>
      <c r="H73" s="82" t="s">
        <v>36</v>
      </c>
      <c r="I73" s="67" t="s">
        <v>37</v>
      </c>
    </row>
    <row r="74" spans="1:9" x14ac:dyDescent="0.2">
      <c r="A74" s="697" t="s">
        <v>650</v>
      </c>
      <c r="B74" s="702"/>
      <c r="C74" s="96" t="s">
        <v>405</v>
      </c>
      <c r="D74" s="69">
        <f>SUM('Personnel Yr 1'!M39)</f>
        <v>0</v>
      </c>
      <c r="E74" s="69">
        <f>SUM('Personnel Yr 2'!M39)</f>
        <v>0</v>
      </c>
      <c r="F74" s="69">
        <f>SUM('Personnel Yr 3'!M39)</f>
        <v>0</v>
      </c>
      <c r="G74" s="69">
        <f>SUM('Personnel Yr 4'!M39)</f>
        <v>0</v>
      </c>
      <c r="H74" s="69">
        <f>SUM('Personnel Yr 5'!M39)</f>
        <v>0</v>
      </c>
      <c r="I74" s="69">
        <f t="shared" ref="I74:I80" si="2">SUM(D74:H74)</f>
        <v>0</v>
      </c>
    </row>
    <row r="75" spans="1:9" x14ac:dyDescent="0.2">
      <c r="A75" s="697" t="s">
        <v>651</v>
      </c>
      <c r="B75" s="702"/>
      <c r="C75" s="275" t="s">
        <v>530</v>
      </c>
      <c r="D75" s="69">
        <f>SUM('Personnel Yr 1'!M40)</f>
        <v>0</v>
      </c>
      <c r="E75" s="69">
        <f>SUM('Personnel Yr 2'!M40)</f>
        <v>0</v>
      </c>
      <c r="F75" s="69">
        <f>SUM('Personnel Yr 3'!M40)</f>
        <v>0</v>
      </c>
      <c r="G75" s="69">
        <f>SUM('Personnel Yr 4'!M40)</f>
        <v>0</v>
      </c>
      <c r="H75" s="69">
        <f>SUM('Personnel Yr 5'!M40)</f>
        <v>0</v>
      </c>
      <c r="I75" s="69">
        <f t="shared" si="2"/>
        <v>0</v>
      </c>
    </row>
    <row r="76" spans="1:9" x14ac:dyDescent="0.2">
      <c r="A76" s="697" t="s">
        <v>652</v>
      </c>
      <c r="B76" s="702"/>
      <c r="C76" s="275" t="s">
        <v>531</v>
      </c>
      <c r="D76" s="69">
        <f>SUM('Personnel Yr 1'!M41)</f>
        <v>0</v>
      </c>
      <c r="E76" s="69">
        <f>SUM('Personnel Yr 2'!M41)</f>
        <v>0</v>
      </c>
      <c r="F76" s="69">
        <f>SUM('Personnel Yr 3'!M41)</f>
        <v>0</v>
      </c>
      <c r="G76" s="69">
        <f>SUM('Personnel Yr 4'!M41)</f>
        <v>0</v>
      </c>
      <c r="H76" s="69">
        <f>SUM('Personnel Yr 5'!M41)</f>
        <v>0</v>
      </c>
      <c r="I76" s="69">
        <f t="shared" si="2"/>
        <v>0</v>
      </c>
    </row>
    <row r="77" spans="1:9" x14ac:dyDescent="0.2">
      <c r="A77" s="737" t="s">
        <v>653</v>
      </c>
      <c r="B77" s="700"/>
      <c r="C77" s="97" t="s">
        <v>401</v>
      </c>
      <c r="D77" s="69">
        <f>SUM('Personnel Yr 1'!M42)</f>
        <v>0</v>
      </c>
      <c r="E77" s="69">
        <f>SUM('Personnel Yr 2'!M42)</f>
        <v>0</v>
      </c>
      <c r="F77" s="69">
        <f>SUM('Personnel Yr 3'!M42)</f>
        <v>0</v>
      </c>
      <c r="G77" s="69">
        <f>SUM('Personnel Yr 4'!M42)</f>
        <v>0</v>
      </c>
      <c r="H77" s="69">
        <f>SUM('Personnel Yr 5'!M42)</f>
        <v>0</v>
      </c>
      <c r="I77" s="69">
        <f t="shared" si="2"/>
        <v>0</v>
      </c>
    </row>
    <row r="78" spans="1:9" x14ac:dyDescent="0.2">
      <c r="A78" s="725" t="s">
        <v>654</v>
      </c>
      <c r="B78" s="744"/>
      <c r="C78" s="95" t="s">
        <v>133</v>
      </c>
      <c r="D78" s="69">
        <f>SUM('Personnel Yr 1'!M43)</f>
        <v>0</v>
      </c>
      <c r="E78" s="69">
        <f>SUM('Personnel Yr 2'!M43)</f>
        <v>0</v>
      </c>
      <c r="F78" s="69">
        <f>SUM('Personnel Yr 3'!M43)</f>
        <v>0</v>
      </c>
      <c r="G78" s="69">
        <f>SUM('Personnel Yr 4'!M43)</f>
        <v>0</v>
      </c>
      <c r="H78" s="69">
        <f>SUM('Personnel Yr 5'!M43)</f>
        <v>0</v>
      </c>
      <c r="I78" s="69">
        <f t="shared" si="2"/>
        <v>0</v>
      </c>
    </row>
    <row r="79" spans="1:9" x14ac:dyDescent="0.2">
      <c r="A79" s="697" t="s">
        <v>655</v>
      </c>
      <c r="B79" s="702"/>
      <c r="C79" s="95" t="s">
        <v>404</v>
      </c>
      <c r="D79" s="69">
        <f>SUM('Personnel Yr 1'!M44)</f>
        <v>0</v>
      </c>
      <c r="E79" s="69">
        <f>SUM('Personnel Yr 2'!M44)</f>
        <v>0</v>
      </c>
      <c r="F79" s="69">
        <f>SUM('Personnel Yr 3'!M44)</f>
        <v>0</v>
      </c>
      <c r="G79" s="69">
        <f>SUM('Personnel Yr 4'!M44)</f>
        <v>0</v>
      </c>
      <c r="H79" s="69">
        <f>SUM('Personnel Yr 5'!M44)</f>
        <v>0</v>
      </c>
      <c r="I79" s="69">
        <f t="shared" si="2"/>
        <v>0</v>
      </c>
    </row>
    <row r="80" spans="1:9" x14ac:dyDescent="0.2">
      <c r="A80" s="725" t="s">
        <v>656</v>
      </c>
      <c r="B80" s="744"/>
      <c r="C80" s="95" t="s">
        <v>134</v>
      </c>
      <c r="D80" s="69">
        <f>SUM('Personnel Yr 1'!M45)</f>
        <v>0</v>
      </c>
      <c r="E80" s="69">
        <f>SUM('Personnel Yr 2'!M45)</f>
        <v>0</v>
      </c>
      <c r="F80" s="69">
        <f>SUM('Personnel Yr 3'!M45)</f>
        <v>0</v>
      </c>
      <c r="G80" s="69">
        <f>SUM('Personnel Yr 4'!M45)</f>
        <v>0</v>
      </c>
      <c r="H80" s="69">
        <f>SUM('Personnel Yr 5'!M45)</f>
        <v>0</v>
      </c>
      <c r="I80" s="69">
        <f t="shared" si="2"/>
        <v>0</v>
      </c>
    </row>
    <row r="81" spans="1:9" x14ac:dyDescent="0.2">
      <c r="A81" s="697" t="s">
        <v>658</v>
      </c>
      <c r="B81" s="702"/>
      <c r="C81" s="95" t="s">
        <v>402</v>
      </c>
      <c r="D81" s="69">
        <f>SUM('Personnel Yr 1'!M46)</f>
        <v>0</v>
      </c>
      <c r="E81" s="69">
        <f>SUM('Personnel Yr 2'!M46)</f>
        <v>0</v>
      </c>
      <c r="F81" s="69">
        <f>SUM('Personnel Yr 3'!M46)</f>
        <v>0</v>
      </c>
      <c r="G81" s="69">
        <f>SUM('Personnel Yr 4'!M46)</f>
        <v>0</v>
      </c>
      <c r="H81" s="69">
        <f>SUM('Personnel Yr 5'!M46)</f>
        <v>0</v>
      </c>
      <c r="I81" s="69">
        <f t="shared" ref="I81:I84" si="3">SUM(D81:H81)</f>
        <v>0</v>
      </c>
    </row>
    <row r="82" spans="1:9" x14ac:dyDescent="0.2">
      <c r="A82" s="737" t="s">
        <v>657</v>
      </c>
      <c r="B82" s="738"/>
      <c r="C82" s="356" t="s">
        <v>406</v>
      </c>
      <c r="D82" s="150">
        <f>SUM('Personnel Yr 1'!M47)</f>
        <v>0</v>
      </c>
      <c r="E82" s="150">
        <f>SUM('Personnel Yr 2'!M47)</f>
        <v>0</v>
      </c>
      <c r="F82" s="150">
        <f>SUM('Personnel Yr 3'!M47)</f>
        <v>0</v>
      </c>
      <c r="G82" s="150">
        <f>SUM('Personnel Yr 4'!M47)</f>
        <v>0</v>
      </c>
      <c r="H82" s="150">
        <f>SUM('Personnel Yr 5'!M47)</f>
        <v>0</v>
      </c>
      <c r="I82" s="69">
        <f t="shared" si="3"/>
        <v>0</v>
      </c>
    </row>
    <row r="83" spans="1:9" x14ac:dyDescent="0.2">
      <c r="A83" s="745" t="s">
        <v>659</v>
      </c>
      <c r="B83" s="746"/>
      <c r="C83" s="356" t="s">
        <v>403</v>
      </c>
      <c r="D83" s="69">
        <f>SUM('Personnel Yr 1'!M48)</f>
        <v>0</v>
      </c>
      <c r="E83" s="69">
        <f>SUM('Personnel Yr 2'!M48)</f>
        <v>0</v>
      </c>
      <c r="F83" s="69">
        <f>SUM('Personnel Yr 3'!M48)</f>
        <v>0</v>
      </c>
      <c r="G83" s="69">
        <f>SUM('Personnel Yr 4'!M48)</f>
        <v>0</v>
      </c>
      <c r="H83" s="69">
        <f>SUM('Personnel Yr 5'!M48)</f>
        <v>0</v>
      </c>
      <c r="I83" s="69">
        <f t="shared" si="3"/>
        <v>0</v>
      </c>
    </row>
    <row r="84" spans="1:9" ht="13.5" thickBot="1" x14ac:dyDescent="0.25">
      <c r="A84" s="739" t="s">
        <v>135</v>
      </c>
      <c r="B84" s="740"/>
      <c r="C84" s="98"/>
      <c r="D84" s="79">
        <f>SUM(D74:D83)</f>
        <v>0</v>
      </c>
      <c r="E84" s="79">
        <f t="shared" ref="E84:H84" si="4">SUM(E74:E83)</f>
        <v>0</v>
      </c>
      <c r="F84" s="79">
        <f t="shared" si="4"/>
        <v>0</v>
      </c>
      <c r="G84" s="79">
        <f t="shared" si="4"/>
        <v>0</v>
      </c>
      <c r="H84" s="79">
        <f t="shared" si="4"/>
        <v>0</v>
      </c>
      <c r="I84" s="79">
        <f t="shared" si="3"/>
        <v>0</v>
      </c>
    </row>
    <row r="85" spans="1:9" ht="13.5" thickTop="1" x14ac:dyDescent="0.2">
      <c r="A85" s="99"/>
      <c r="B85" s="100"/>
      <c r="C85" s="100"/>
      <c r="D85" s="100"/>
      <c r="E85" s="100"/>
      <c r="F85" s="100"/>
      <c r="G85" s="100"/>
      <c r="H85" s="100"/>
      <c r="I85" s="100"/>
    </row>
    <row r="86" spans="1:9" ht="13.5" thickBot="1" x14ac:dyDescent="0.25">
      <c r="A86" s="741" t="s">
        <v>136</v>
      </c>
      <c r="B86" s="742"/>
      <c r="C86" s="101"/>
      <c r="D86" s="79">
        <f>SUM(D84,D13)</f>
        <v>0</v>
      </c>
      <c r="E86" s="79">
        <f>SUM(E84,E13)</f>
        <v>0</v>
      </c>
      <c r="F86" s="79">
        <f>SUM(F84,F13)</f>
        <v>0</v>
      </c>
      <c r="G86" s="79">
        <f>SUM(G84,G13)</f>
        <v>0</v>
      </c>
      <c r="H86" s="79">
        <f>SUM(H84,H13)</f>
        <v>0</v>
      </c>
      <c r="I86" s="79">
        <f>SUM(D86:H86)</f>
        <v>0</v>
      </c>
    </row>
    <row r="87" spans="1:9" ht="13.5" thickTop="1" x14ac:dyDescent="0.2">
      <c r="A87" s="24"/>
      <c r="B87" s="102"/>
      <c r="C87" s="102"/>
      <c r="D87" s="102"/>
      <c r="E87" s="102"/>
      <c r="F87" s="102"/>
      <c r="G87" s="102"/>
      <c r="H87" s="102"/>
      <c r="I87" s="102"/>
    </row>
    <row r="88" spans="1:9" x14ac:dyDescent="0.2">
      <c r="A88" s="701" t="s">
        <v>137</v>
      </c>
      <c r="B88" s="701"/>
      <c r="C88" s="66" t="s">
        <v>119</v>
      </c>
      <c r="D88" s="82" t="s">
        <v>32</v>
      </c>
      <c r="E88" s="82" t="s">
        <v>33</v>
      </c>
      <c r="F88" s="82" t="s">
        <v>34</v>
      </c>
      <c r="G88" s="82" t="s">
        <v>35</v>
      </c>
      <c r="H88" s="82" t="s">
        <v>36</v>
      </c>
      <c r="I88" s="67" t="s">
        <v>37</v>
      </c>
    </row>
    <row r="89" spans="1:9" x14ac:dyDescent="0.2">
      <c r="A89" s="699" t="str">
        <f>"1)  " &amp; LOOKUP("Full",Ben,Per)*100 &amp; "% (AY Faculty, Regular)"</f>
        <v>1)  29.5% (AY Faculty, Regular)</v>
      </c>
      <c r="B89" s="700"/>
      <c r="C89" s="95"/>
      <c r="D89" s="69">
        <f>(SUM('Personnel Yr 1'!V15,'Personnel Yr 1'!W15,'Personnel Yr 1'!N39:N40,'Personnel Yr 1'!N42,'Personnel Yr 1'!N45,'Personnel Yr 1'!V35,'Personnel Yr 1'!W35))-SUMIF('Personnel Yr 1'!H7:H14,"Non-Tenure Track Faculty - Hourly",'Personnel Yr 1'!V7:V14) + SUMIF('Personnel Yr 1'!V20:V34,"Non-Tenure Track Faculty - Hourly",'Personnel Yr 1'!V20:V34)</f>
        <v>0</v>
      </c>
      <c r="E89" s="69">
        <f>SUM('Personnel Yr 2'!U15,'Personnel Yr 2'!V15,'Personnel Yr 2'!N39:N40,'Personnel Yr 2'!N42,'Personnel Yr 2'!N45,'Personnel Yr 2'!U35,'Personnel Yr 2'!V35)-SUMIF('Personnel Yr 2'!H7:H14,"Non-Tenure Track Faculty - Hourly",'Personnel Yr 2'!U7:U14) + SUMIF('Personnel Yr 2'!H20:H34,"Non-Tenure Track Faculty - Hourly",'Personnel Yr 2'!U20:U34)</f>
        <v>0</v>
      </c>
      <c r="F89" s="69">
        <f>SUM('Personnel Yr 3'!U15,'Personnel Yr 3'!V15,'Personnel Yr 3'!N39:N40,'Personnel Yr 3'!N42,'Personnel Yr 3'!N45,'Personnel Yr 3'!U35,'Personnel Yr 3'!V35)-SUMIF('Personnel Yr 3'!H7:H14,"Non-Tenure Track Faculty - Hourly",'Personnel Yr 3'!U7:U14) + SUMIF('Personnel Yr 3'!H20:H34,"Non-Tenure Track Faculty - Hourly",'Personnel Yr 3'!U20:U34)</f>
        <v>0</v>
      </c>
      <c r="G89" s="69">
        <f>SUM('Personnel Yr 4'!U15,'Personnel Yr 4'!V15,'Personnel Yr 4'!N39:N40,'Personnel Yr 4'!N42,'Personnel Yr 4'!N45,'Personnel Yr 4'!U35,'Personnel Yr 4'!V35)-SUMIF('Personnel Yr 4'!H7:H14,"Non-Tenure Track Faculty - Hourly",'Personnel Yr 4'!U7:U14) + SUMIF('Personnel Yr 4'!H20:H34,"Non-Tenure Track Faculty - Hourly",'Personnel Yr 4'!U20:U34)</f>
        <v>0</v>
      </c>
      <c r="H89" s="69">
        <f>SUM('Personnel Yr 5'!U15,'Personnel Yr 5'!V15,'Personnel Yr 5'!N39:N40,'Personnel Yr 5'!N42,'Personnel Yr 5'!N45,'Personnel Yr 5'!U35,'Personnel Yr 5'!V35)-SUMIF('Personnel Yr 5'!H7:H14,"Non-Tenure Track Faculty - Hourly",'Personnel Yr 5'!U7:U14) + SUMIF('Personnel Yr 5'!H20:H34,"Non-Tenure Track Faculty - Hourly",'Personnel Yr 5'!U20:U34)</f>
        <v>0</v>
      </c>
      <c r="I89" s="69">
        <f t="shared" ref="I89:I94" si="5">SUM(D89:H89)</f>
        <v>0</v>
      </c>
    </row>
    <row r="90" spans="1:9" x14ac:dyDescent="0.2">
      <c r="A90" s="699" t="str">
        <f>"2)  " &amp; LOOKUP("Summer",Ben,Per)*100 &amp; "% (Summer Faculty)"</f>
        <v>2)  15.8% (Summer Faculty)</v>
      </c>
      <c r="B90" s="700"/>
      <c r="C90" s="95"/>
      <c r="D90" s="69">
        <f>SUM('Personnel Yr 1'!X15,'Personnel Yr 1'!X35)</f>
        <v>0</v>
      </c>
      <c r="E90" s="69">
        <f>SUM('Personnel Yr 2'!W15,'Personnel Yr 2'!W35)</f>
        <v>0</v>
      </c>
      <c r="F90" s="69">
        <f>SUM('Personnel Yr 3'!W15,'Personnel Yr 3'!W35)</f>
        <v>0</v>
      </c>
      <c r="G90" s="69">
        <f>SUM('Personnel Yr 4'!W15,'Personnel Yr 4'!W35)</f>
        <v>0</v>
      </c>
      <c r="H90" s="69">
        <f>SUM('Personnel Yr 5'!W15,'Personnel Yr 5'!W35)</f>
        <v>0</v>
      </c>
      <c r="I90" s="69">
        <f t="shared" si="5"/>
        <v>0</v>
      </c>
    </row>
    <row r="91" spans="1:9" x14ac:dyDescent="0.2">
      <c r="A91" s="699" t="str">
        <f>IF(ISBLANK('Personnel Yr 1'!I43),"3)  " &amp; 'Drop Choices'!D2 * 100 &amp; "%/" &amp; 'Drop Choices'!D3 * 100 &amp; "% (GA)","3)  " &amp; LOOKUP('Personnel Yr 1'!I43,Grad,GradR)*100 &amp; "% (GA - " &amp; 'Personnel Yr 1'!I43 &amp; ")")</f>
        <v>3)  10.8%/10.8% (GA)</v>
      </c>
      <c r="B91" s="700"/>
      <c r="C91" s="103"/>
      <c r="D91" s="69">
        <f>SUM('Personnel Yr 1'!N43)</f>
        <v>0</v>
      </c>
      <c r="E91" s="69">
        <f>SUM('Personnel Yr 2'!N43)</f>
        <v>0</v>
      </c>
      <c r="F91" s="69">
        <f>SUM('Personnel Yr 3'!N43)</f>
        <v>0</v>
      </c>
      <c r="G91" s="69">
        <f>SUM('Personnel Yr 4'!N43)</f>
        <v>0</v>
      </c>
      <c r="H91" s="69">
        <f>SUM('Personnel Yr 5'!N43)</f>
        <v>0</v>
      </c>
      <c r="I91" s="69">
        <f t="shared" si="5"/>
        <v>0</v>
      </c>
    </row>
    <row r="92" spans="1:9" x14ac:dyDescent="0.2">
      <c r="A92" s="699" t="str">
        <f>"4)  " &amp; LOOKUP("Temp",Ben,Per)*100 &amp; "% (Hourly employees)"</f>
        <v>4)  7.9% (Hourly employees)</v>
      </c>
      <c r="B92" s="700"/>
      <c r="C92" s="95"/>
      <c r="D92" s="69">
        <f>SUM('Personnel Yr 1'!N41,'Personnel Yr 1'!N44,'Personnel Yr 1'!N46,'Personnel Yr 1'!N47) + SUMIF('Personnel Yr 1'!H7:H14,"Non-Tenure Track Faculty - Hourly",'Personnel Yr 1'!V7:V14) + SUMIF('Personnel Yr 1'!V20:V34,"Non-Tenure Track Faculty - Hourly",'Personnel Yr 1'!V20:V34)</f>
        <v>0</v>
      </c>
      <c r="E92" s="69">
        <f>SUM('Personnel Yr 2'!N41,'Personnel Yr 2'!N44,'Personnel Yr 2'!N46,'Personnel Yr 2'!N47) + SUMIF('Personnel Yr 2'!H7:H14,"Non-Tenure Track Faculty - Hourly",'Personnel Yr 2'!U7:U14) + SUMIF('Personnel Yr 2'!H20:H34,"Non-Tenure Track Faculty - Hourly",'Personnel Yr 2'!U20:U34)</f>
        <v>0</v>
      </c>
      <c r="F92" s="69">
        <f>SUM('Personnel Yr 3'!N41,'Personnel Yr 3'!N44,'Personnel Yr 3'!N46,'Personnel Yr 3'!N47) + SUMIF('Personnel Yr 3'!H7:H14,"Non-Tenure Track Faculty - Hourly",'Personnel Yr 3'!U7:U14) + SUMIF('Personnel Yr 3'!H20:H34,"Non-Tenure Track Faculty - Hourly",'Personnel Yr 3'!U20:U34)</f>
        <v>0</v>
      </c>
      <c r="G92" s="69">
        <f>SUM('Personnel Yr 4'!N41,'Personnel Yr 4'!N44,'Personnel Yr 4'!N46,'Personnel Yr 4'!N47) + SUMIF('Personnel Yr 4'!H7:H14,"Non-Tenure Track Faculty - Hourly",'Personnel Yr 4'!U7:U14) + SUMIF('Personnel Yr 4'!H20:H34,"Non-Tenure Track Faculty - Hourly",'Personnel Yr 4'!U20:U34)</f>
        <v>0</v>
      </c>
      <c r="H92" s="69">
        <f>SUM('Personnel Yr 5'!N41,'Personnel Yr 5'!N44,'Personnel Yr 5'!N46,'Personnel Yr 5'!N47) + SUMIF('Personnel Yr 5'!H7:H14,"Non-Tenure Track Faculty - Hourly",'Personnel Yr 5'!U7:U14) + SUMIF('Personnel Yr 5'!H20:H34,"Non-Tenure Track Faculty - Hourly",'Personnel Yr 5'!U20:U34)</f>
        <v>0</v>
      </c>
      <c r="I92" s="69">
        <f t="shared" si="5"/>
        <v>0</v>
      </c>
    </row>
    <row r="93" spans="1:9" x14ac:dyDescent="0.2">
      <c r="A93" s="699" t="str">
        <f>"5)  " &amp; LOOKUP("Adjunct",Ben,Per)*100 &amp; "% (Adjunct)"</f>
        <v>5)  12.8% (Adjunct)</v>
      </c>
      <c r="B93" s="700"/>
      <c r="C93" s="289"/>
      <c r="D93" s="150">
        <f>SUM('Personnel Yr 1'!N48)</f>
        <v>0</v>
      </c>
      <c r="E93" s="150">
        <f>SUM('Personnel Yr 2'!N48)</f>
        <v>0</v>
      </c>
      <c r="F93" s="150">
        <f>SUM('Personnel Yr 3'!N48)</f>
        <v>0</v>
      </c>
      <c r="G93" s="150">
        <f>SUM('Personnel Yr 4'!N48)</f>
        <v>0</v>
      </c>
      <c r="H93" s="150">
        <f>SUM('Personnel Yr 5'!N48)</f>
        <v>0</v>
      </c>
      <c r="I93" s="69">
        <f t="shared" si="5"/>
        <v>0</v>
      </c>
    </row>
    <row r="94" spans="1:9" ht="13.5" thickBot="1" x14ac:dyDescent="0.25">
      <c r="A94" s="707" t="s">
        <v>138</v>
      </c>
      <c r="B94" s="708"/>
      <c r="C94" s="78" t="s">
        <v>139</v>
      </c>
      <c r="D94" s="79">
        <f>SUM(D89:D93)</f>
        <v>0</v>
      </c>
      <c r="E94" s="79">
        <f t="shared" ref="E94:H94" si="6">SUM(E89:E93)</f>
        <v>0</v>
      </c>
      <c r="F94" s="79">
        <f t="shared" si="6"/>
        <v>0</v>
      </c>
      <c r="G94" s="79">
        <f t="shared" si="6"/>
        <v>0</v>
      </c>
      <c r="H94" s="79">
        <f t="shared" si="6"/>
        <v>0</v>
      </c>
      <c r="I94" s="79">
        <f t="shared" si="5"/>
        <v>0</v>
      </c>
    </row>
    <row r="95" spans="1:9" ht="13.5" thickTop="1" x14ac:dyDescent="0.2">
      <c r="A95" s="99"/>
      <c r="B95" s="100"/>
      <c r="C95" s="100"/>
      <c r="D95" s="100"/>
      <c r="E95" s="100"/>
      <c r="F95" s="100"/>
      <c r="G95" s="100"/>
      <c r="H95" s="100"/>
      <c r="I95" s="166"/>
    </row>
    <row r="96" spans="1:9" ht="13.5" thickBot="1" x14ac:dyDescent="0.25">
      <c r="A96" s="707" t="s">
        <v>140</v>
      </c>
      <c r="B96" s="708"/>
      <c r="C96" s="105"/>
      <c r="D96" s="106">
        <f>SUM(D94,D86)</f>
        <v>0</v>
      </c>
      <c r="E96" s="106">
        <f>SUM(E94,E86)</f>
        <v>0</v>
      </c>
      <c r="F96" s="106">
        <f>SUM(F94,F86)</f>
        <v>0</v>
      </c>
      <c r="G96" s="106">
        <f>SUM(G94,G86)</f>
        <v>0</v>
      </c>
      <c r="H96" s="106">
        <f>SUM(H94,H86)</f>
        <v>0</v>
      </c>
      <c r="I96" s="107">
        <f>SUM(D96:H96)</f>
        <v>0</v>
      </c>
    </row>
    <row r="97" spans="1:9" ht="13.5" thickTop="1" x14ac:dyDescent="0.2">
      <c r="A97" s="24"/>
      <c r="B97" s="102"/>
      <c r="C97" s="102"/>
      <c r="D97" s="102"/>
      <c r="E97" s="102"/>
      <c r="F97" s="102"/>
      <c r="G97" s="102"/>
      <c r="H97" s="102"/>
      <c r="I97" s="102"/>
    </row>
    <row r="98" spans="1:9" x14ac:dyDescent="0.2">
      <c r="A98" s="701" t="s">
        <v>141</v>
      </c>
      <c r="B98" s="701"/>
      <c r="C98" s="66" t="s">
        <v>119</v>
      </c>
      <c r="D98" s="82" t="s">
        <v>32</v>
      </c>
      <c r="E98" s="82" t="s">
        <v>33</v>
      </c>
      <c r="F98" s="82" t="s">
        <v>34</v>
      </c>
      <c r="G98" s="82" t="s">
        <v>35</v>
      </c>
      <c r="H98" s="82" t="s">
        <v>36</v>
      </c>
      <c r="I98" s="67" t="s">
        <v>37</v>
      </c>
    </row>
    <row r="99" spans="1:9" x14ac:dyDescent="0.2">
      <c r="A99" s="699" t="s">
        <v>183</v>
      </c>
      <c r="B99" s="700"/>
      <c r="C99" s="97" t="s">
        <v>142</v>
      </c>
      <c r="D99" s="69">
        <f>SUM('Non-personnel'!H15:I15)</f>
        <v>0</v>
      </c>
      <c r="E99" s="69">
        <f>SUM('Non-personnel'!J15:K15)</f>
        <v>0</v>
      </c>
      <c r="F99" s="69">
        <f>SUM('Non-personnel'!L15:M15)</f>
        <v>0</v>
      </c>
      <c r="G99" s="69">
        <f>SUM('Non-personnel'!M15:O15)</f>
        <v>0</v>
      </c>
      <c r="H99" s="69">
        <f>SUM('Non-personnel'!P15:Q15)</f>
        <v>0</v>
      </c>
      <c r="I99" s="69">
        <f>SUM(D99:H99)</f>
        <v>0</v>
      </c>
    </row>
    <row r="100" spans="1:9" ht="13.5" thickBot="1" x14ac:dyDescent="0.25">
      <c r="A100" s="707" t="s">
        <v>143</v>
      </c>
      <c r="B100" s="708"/>
      <c r="C100" s="108" t="s">
        <v>142</v>
      </c>
      <c r="D100" s="109">
        <f>SUM('Non-personnel'!H15:I15)</f>
        <v>0</v>
      </c>
      <c r="E100" s="109">
        <f>SUM('Non-personnel'!J15:K15)</f>
        <v>0</v>
      </c>
      <c r="F100" s="109">
        <f>SUM('Non-personnel'!L15:M15)</f>
        <v>0</v>
      </c>
      <c r="G100" s="109">
        <f>SUM('Non-personnel'!N15:O15)</f>
        <v>0</v>
      </c>
      <c r="H100" s="109">
        <f>SUM('Non-personnel'!P15:Q15)</f>
        <v>0</v>
      </c>
      <c r="I100" s="79">
        <f>SUM(D100:H100)</f>
        <v>0</v>
      </c>
    </row>
    <row r="101" spans="1:9" ht="13.5" thickTop="1" x14ac:dyDescent="0.2">
      <c r="A101" s="24"/>
      <c r="B101" s="110"/>
      <c r="C101" s="110"/>
      <c r="D101" s="110"/>
      <c r="E101" s="110"/>
      <c r="F101" s="110"/>
      <c r="G101" s="110"/>
      <c r="H101" s="110"/>
      <c r="I101" s="110"/>
    </row>
    <row r="102" spans="1:9" x14ac:dyDescent="0.2">
      <c r="A102" s="701" t="s">
        <v>144</v>
      </c>
      <c r="B102" s="701"/>
      <c r="C102" s="66" t="s">
        <v>119</v>
      </c>
      <c r="D102" s="82" t="s">
        <v>32</v>
      </c>
      <c r="E102" s="82" t="s">
        <v>33</v>
      </c>
      <c r="F102" s="82" t="s">
        <v>34</v>
      </c>
      <c r="G102" s="82" t="s">
        <v>35</v>
      </c>
      <c r="H102" s="82" t="s">
        <v>36</v>
      </c>
      <c r="I102" s="67" t="s">
        <v>37</v>
      </c>
    </row>
    <row r="103" spans="1:9" x14ac:dyDescent="0.2">
      <c r="A103" s="699" t="s">
        <v>184</v>
      </c>
      <c r="B103" s="700"/>
      <c r="C103" s="97" t="s">
        <v>145</v>
      </c>
      <c r="D103" s="69">
        <f>SUM('Non-personnel'!H19:I19)</f>
        <v>0</v>
      </c>
      <c r="E103" s="69">
        <f>SUM('Non-personnel'!J19:K19)</f>
        <v>0</v>
      </c>
      <c r="F103" s="69">
        <f>SUM('Non-personnel'!L19:M19)</f>
        <v>0</v>
      </c>
      <c r="G103" s="69">
        <f>SUM('Non-personnel'!N19:O19)</f>
        <v>0</v>
      </c>
      <c r="H103" s="69">
        <f>SUM('Non-personnel'!P19:Q19)</f>
        <v>0</v>
      </c>
      <c r="I103" s="69">
        <f>SUM(D103:H103)</f>
        <v>0</v>
      </c>
    </row>
    <row r="104" spans="1:9" x14ac:dyDescent="0.2">
      <c r="A104" s="699" t="s">
        <v>185</v>
      </c>
      <c r="B104" s="700"/>
      <c r="C104" s="97" t="s">
        <v>146</v>
      </c>
      <c r="D104" s="69">
        <f>SUM('Non-personnel'!H20:I20)</f>
        <v>0</v>
      </c>
      <c r="E104" s="69">
        <f>SUM('Non-personnel'!J20:K20)</f>
        <v>0</v>
      </c>
      <c r="F104" s="69">
        <f>SUM('Non-personnel'!L20:M20)</f>
        <v>0</v>
      </c>
      <c r="G104" s="69">
        <f>SUM('Non-personnel'!N20:O20)</f>
        <v>0</v>
      </c>
      <c r="H104" s="69">
        <f>SUM('Non-personnel'!P20:Q20)</f>
        <v>0</v>
      </c>
      <c r="I104" s="69">
        <f>SUM(D104:H104)</f>
        <v>0</v>
      </c>
    </row>
    <row r="105" spans="1:9" ht="13.5" thickBot="1" x14ac:dyDescent="0.25">
      <c r="A105" s="707" t="s">
        <v>147</v>
      </c>
      <c r="B105" s="708"/>
      <c r="C105" s="108" t="s">
        <v>148</v>
      </c>
      <c r="D105" s="109">
        <f>SUM('Non-personnel'!H21:I21)</f>
        <v>0</v>
      </c>
      <c r="E105" s="109">
        <f>SUM('Non-personnel'!J21:K21)</f>
        <v>0</v>
      </c>
      <c r="F105" s="109">
        <f>SUM('Non-personnel'!L21:M21)</f>
        <v>0</v>
      </c>
      <c r="G105" s="109">
        <f>SUM('Non-personnel'!N21:O21)</f>
        <v>0</v>
      </c>
      <c r="H105" s="109">
        <f>SUM('Non-personnel'!P21:Q21)</f>
        <v>0</v>
      </c>
      <c r="I105" s="79">
        <f>SUM(D105:H105)</f>
        <v>0</v>
      </c>
    </row>
    <row r="106" spans="1:9" ht="13.5" thickTop="1" x14ac:dyDescent="0.2">
      <c r="A106" s="24"/>
      <c r="B106" s="110"/>
      <c r="C106" s="110"/>
      <c r="D106" s="110"/>
      <c r="E106" s="110"/>
      <c r="F106" s="110"/>
      <c r="G106" s="110"/>
      <c r="H106" s="110"/>
      <c r="I106" s="110"/>
    </row>
    <row r="107" spans="1:9" x14ac:dyDescent="0.2">
      <c r="A107" s="701" t="s">
        <v>149</v>
      </c>
      <c r="B107" s="713"/>
      <c r="C107" s="66" t="s">
        <v>119</v>
      </c>
      <c r="D107" s="82" t="s">
        <v>32</v>
      </c>
      <c r="E107" s="82" t="s">
        <v>33</v>
      </c>
      <c r="F107" s="82" t="s">
        <v>34</v>
      </c>
      <c r="G107" s="82" t="s">
        <v>35</v>
      </c>
      <c r="H107" s="82" t="s">
        <v>36</v>
      </c>
      <c r="I107" s="82" t="s">
        <v>37</v>
      </c>
    </row>
    <row r="108" spans="1:9" x14ac:dyDescent="0.2">
      <c r="A108" s="699" t="s">
        <v>186</v>
      </c>
      <c r="B108" s="700"/>
      <c r="C108" s="97" t="s">
        <v>150</v>
      </c>
      <c r="D108" s="69">
        <f>'Non-personnel'!H25</f>
        <v>0</v>
      </c>
      <c r="E108" s="69">
        <f>'Non-personnel'!J25</f>
        <v>0</v>
      </c>
      <c r="F108" s="69">
        <f>'Non-personnel'!L25</f>
        <v>0</v>
      </c>
      <c r="G108" s="69">
        <f>'Non-personnel'!N25</f>
        <v>0</v>
      </c>
      <c r="H108" s="69">
        <f>'Non-personnel'!P25</f>
        <v>0</v>
      </c>
      <c r="I108" s="69">
        <f>SUM(D108:H108)</f>
        <v>0</v>
      </c>
    </row>
    <row r="109" spans="1:9" x14ac:dyDescent="0.2">
      <c r="A109" s="699" t="s">
        <v>187</v>
      </c>
      <c r="B109" s="700"/>
      <c r="C109" s="277" t="s">
        <v>444</v>
      </c>
      <c r="D109" s="69">
        <f>'Non-personnel'!H26</f>
        <v>0</v>
      </c>
      <c r="E109" s="69">
        <f>'Non-personnel'!J26</f>
        <v>0</v>
      </c>
      <c r="F109" s="69">
        <f>'Non-personnel'!L26</f>
        <v>0</v>
      </c>
      <c r="G109" s="69">
        <f>'Non-personnel'!N26</f>
        <v>0</v>
      </c>
      <c r="H109" s="69">
        <f>'Non-personnel'!P26</f>
        <v>0</v>
      </c>
      <c r="I109" s="69">
        <f>SUM(D109:H109)</f>
        <v>0</v>
      </c>
    </row>
    <row r="110" spans="1:9" x14ac:dyDescent="0.2">
      <c r="A110" s="699" t="s">
        <v>188</v>
      </c>
      <c r="B110" s="700"/>
      <c r="C110" s="97" t="s">
        <v>151</v>
      </c>
      <c r="D110" s="69">
        <f>'Non-personnel'!H27</f>
        <v>0</v>
      </c>
      <c r="E110" s="69">
        <f>'Non-personnel'!J27</f>
        <v>0</v>
      </c>
      <c r="F110" s="69">
        <f>'Non-personnel'!L27</f>
        <v>0</v>
      </c>
      <c r="G110" s="69">
        <f>'Non-personnel'!N27</f>
        <v>0</v>
      </c>
      <c r="H110" s="69">
        <f>'Non-personnel'!P27</f>
        <v>0</v>
      </c>
      <c r="I110" s="69">
        <f>SUM(D110:H110)</f>
        <v>0</v>
      </c>
    </row>
    <row r="111" spans="1:9" x14ac:dyDescent="0.2">
      <c r="A111" s="699" t="s">
        <v>189</v>
      </c>
      <c r="B111" s="700"/>
      <c r="C111" s="97" t="s">
        <v>152</v>
      </c>
      <c r="D111" s="69">
        <f>'Non-personnel'!H28</f>
        <v>0</v>
      </c>
      <c r="E111" s="69">
        <f>'Non-personnel'!J28</f>
        <v>0</v>
      </c>
      <c r="F111" s="69">
        <f>'Non-personnel'!L28</f>
        <v>0</v>
      </c>
      <c r="G111" s="69">
        <f>'Non-personnel'!N28</f>
        <v>0</v>
      </c>
      <c r="H111" s="69">
        <f>'Non-personnel'!P28</f>
        <v>0</v>
      </c>
      <c r="I111" s="69">
        <f>SUM(D111:H111)</f>
        <v>0</v>
      </c>
    </row>
    <row r="112" spans="1:9" ht="13.5" thickBot="1" x14ac:dyDescent="0.25">
      <c r="A112" s="707" t="s">
        <v>153</v>
      </c>
      <c r="B112" s="708"/>
      <c r="C112" s="104"/>
      <c r="D112" s="109">
        <f>'Non-personnel'!H29</f>
        <v>0</v>
      </c>
      <c r="E112" s="109">
        <f>'Non-personnel'!J29</f>
        <v>0</v>
      </c>
      <c r="F112" s="109">
        <f>'Non-personnel'!L29</f>
        <v>0</v>
      </c>
      <c r="G112" s="109">
        <f>'Non-personnel'!N29</f>
        <v>0</v>
      </c>
      <c r="H112" s="109">
        <f>'Non-personnel'!P29</f>
        <v>0</v>
      </c>
      <c r="I112" s="79">
        <f>SUM(D112:H112)</f>
        <v>0</v>
      </c>
    </row>
    <row r="113" spans="1:9" ht="13.5" thickTop="1" x14ac:dyDescent="0.2">
      <c r="A113" s="4"/>
      <c r="B113" s="4"/>
      <c r="C113" s="4"/>
      <c r="D113" s="112"/>
      <c r="E113" s="112"/>
      <c r="F113" s="112"/>
      <c r="G113" s="112"/>
      <c r="H113" s="112"/>
      <c r="I113" s="100"/>
    </row>
    <row r="114" spans="1:9" x14ac:dyDescent="0.2">
      <c r="A114" s="701" t="s">
        <v>154</v>
      </c>
      <c r="B114" s="713"/>
      <c r="C114" s="66" t="s">
        <v>119</v>
      </c>
      <c r="D114" s="82" t="s">
        <v>32</v>
      </c>
      <c r="E114" s="82" t="s">
        <v>33</v>
      </c>
      <c r="F114" s="82" t="s">
        <v>34</v>
      </c>
      <c r="G114" s="82" t="s">
        <v>35</v>
      </c>
      <c r="H114" s="82" t="s">
        <v>36</v>
      </c>
      <c r="I114" s="67" t="s">
        <v>37</v>
      </c>
    </row>
    <row r="115" spans="1:9" x14ac:dyDescent="0.2">
      <c r="A115" s="750" t="s">
        <v>190</v>
      </c>
      <c r="B115" s="702"/>
      <c r="C115" s="97" t="s">
        <v>155</v>
      </c>
      <c r="D115" s="69">
        <f>'Non-personnel'!H34</f>
        <v>0</v>
      </c>
      <c r="E115" s="69">
        <f>'Non-personnel'!J34</f>
        <v>0</v>
      </c>
      <c r="F115" s="69">
        <f>'Non-personnel'!L34</f>
        <v>0</v>
      </c>
      <c r="G115" s="69">
        <f>'Non-personnel'!N34</f>
        <v>0</v>
      </c>
      <c r="H115" s="69">
        <f>'Non-personnel'!P34</f>
        <v>0</v>
      </c>
      <c r="I115" s="69">
        <f>SUM(D115:H115)</f>
        <v>0</v>
      </c>
    </row>
    <row r="116" spans="1:9" x14ac:dyDescent="0.2">
      <c r="A116" s="750" t="s">
        <v>191</v>
      </c>
      <c r="B116" s="702"/>
      <c r="C116" s="97" t="s">
        <v>156</v>
      </c>
      <c r="D116" s="69">
        <f>'Non-personnel'!H36</f>
        <v>0</v>
      </c>
      <c r="E116" s="69">
        <f>'Non-personnel'!J36</f>
        <v>0</v>
      </c>
      <c r="F116" s="69">
        <f>'Non-personnel'!L36</f>
        <v>0</v>
      </c>
      <c r="G116" s="69">
        <f>'Non-personnel'!N36</f>
        <v>0</v>
      </c>
      <c r="H116" s="69">
        <f>'Non-personnel'!P36</f>
        <v>0</v>
      </c>
      <c r="I116" s="69">
        <f>SUM(D116:H116)</f>
        <v>0</v>
      </c>
    </row>
    <row r="117" spans="1:9" x14ac:dyDescent="0.2">
      <c r="A117" s="750" t="s">
        <v>192</v>
      </c>
      <c r="B117" s="702"/>
      <c r="C117" s="97"/>
      <c r="D117" s="69"/>
      <c r="E117" s="69"/>
      <c r="F117" s="69"/>
      <c r="G117" s="69"/>
      <c r="H117" s="69"/>
      <c r="I117" s="69"/>
    </row>
    <row r="118" spans="1:9" x14ac:dyDescent="0.2">
      <c r="A118" s="703" t="s">
        <v>193</v>
      </c>
      <c r="B118" s="704"/>
      <c r="C118" s="97" t="s">
        <v>157</v>
      </c>
      <c r="D118" s="69">
        <f>D174</f>
        <v>0</v>
      </c>
      <c r="E118" s="69">
        <f>E174</f>
        <v>0</v>
      </c>
      <c r="F118" s="69">
        <f>F174</f>
        <v>0</v>
      </c>
      <c r="G118" s="69">
        <f>G174</f>
        <v>0</v>
      </c>
      <c r="H118" s="69">
        <f>H174</f>
        <v>0</v>
      </c>
      <c r="I118" s="69">
        <f>SUM(D118:H118)</f>
        <v>0</v>
      </c>
    </row>
    <row r="119" spans="1:9" x14ac:dyDescent="0.2">
      <c r="A119" s="703" t="s">
        <v>194</v>
      </c>
      <c r="B119" s="704"/>
      <c r="C119" s="97" t="s">
        <v>158</v>
      </c>
      <c r="D119" s="69">
        <f>D173-D174</f>
        <v>0</v>
      </c>
      <c r="E119" s="69">
        <f>E173-E174</f>
        <v>0</v>
      </c>
      <c r="F119" s="69">
        <f>F173-F174</f>
        <v>0</v>
      </c>
      <c r="G119" s="69">
        <f>G173-G174</f>
        <v>0</v>
      </c>
      <c r="H119" s="69">
        <f>H173-H174</f>
        <v>0</v>
      </c>
      <c r="I119" s="69">
        <f>SUM(D119:H119)</f>
        <v>0</v>
      </c>
    </row>
    <row r="120" spans="1:9" x14ac:dyDescent="0.2">
      <c r="A120" s="750" t="s">
        <v>159</v>
      </c>
      <c r="B120" s="702"/>
      <c r="C120" s="97" t="s">
        <v>160</v>
      </c>
      <c r="D120" s="69">
        <f>'Non-personnel'!H40</f>
        <v>0</v>
      </c>
      <c r="E120" s="69">
        <f>'Non-personnel'!J40</f>
        <v>0</v>
      </c>
      <c r="F120" s="69">
        <f>'Non-personnel'!L40</f>
        <v>0</v>
      </c>
      <c r="G120" s="69">
        <f>'Non-personnel'!N40</f>
        <v>0</v>
      </c>
      <c r="H120" s="69">
        <f>'Non-personnel'!P40</f>
        <v>0</v>
      </c>
      <c r="I120" s="69">
        <f>SUM(D120:H120)</f>
        <v>0</v>
      </c>
    </row>
    <row r="121" spans="1:9" x14ac:dyDescent="0.2">
      <c r="A121" s="750" t="s">
        <v>195</v>
      </c>
      <c r="B121" s="702"/>
      <c r="C121" s="97"/>
      <c r="D121" s="69"/>
      <c r="E121" s="69"/>
      <c r="F121" s="69"/>
      <c r="G121" s="69"/>
      <c r="H121" s="69"/>
      <c r="I121" s="69"/>
    </row>
    <row r="122" spans="1:9" x14ac:dyDescent="0.2">
      <c r="A122" s="703" t="s">
        <v>196</v>
      </c>
      <c r="B122" s="704"/>
      <c r="C122" s="113" t="s">
        <v>409</v>
      </c>
      <c r="D122" s="69">
        <f>'Non-personnel'!H35</f>
        <v>0</v>
      </c>
      <c r="E122" s="69">
        <f>'Non-personnel'!J35</f>
        <v>0</v>
      </c>
      <c r="F122" s="69">
        <f>'Non-personnel'!L35</f>
        <v>0</v>
      </c>
      <c r="G122" s="69">
        <f>'Non-personnel'!N35</f>
        <v>0</v>
      </c>
      <c r="H122" s="69">
        <f>'Non-personnel'!P35</f>
        <v>0</v>
      </c>
      <c r="I122" s="69">
        <f t="shared" ref="I122:I135" si="7">SUM(D122:H122)</f>
        <v>0</v>
      </c>
    </row>
    <row r="123" spans="1:9" x14ac:dyDescent="0.2">
      <c r="A123" s="748" t="s">
        <v>197</v>
      </c>
      <c r="B123" s="749"/>
      <c r="C123" s="113" t="s">
        <v>410</v>
      </c>
      <c r="D123" s="69">
        <f>'Non-personnel'!H37</f>
        <v>0</v>
      </c>
      <c r="E123" s="69">
        <f>'Non-personnel'!J37</f>
        <v>0</v>
      </c>
      <c r="F123" s="69">
        <f>'Non-personnel'!L37</f>
        <v>0</v>
      </c>
      <c r="G123" s="69">
        <f>'Non-personnel'!N37</f>
        <v>0</v>
      </c>
      <c r="H123" s="69">
        <f>'Non-personnel'!P37</f>
        <v>0</v>
      </c>
      <c r="I123" s="69">
        <f t="shared" si="7"/>
        <v>0</v>
      </c>
    </row>
    <row r="124" spans="1:9" x14ac:dyDescent="0.2">
      <c r="A124" s="703" t="s">
        <v>394</v>
      </c>
      <c r="B124" s="704"/>
      <c r="C124" s="113" t="s">
        <v>164</v>
      </c>
      <c r="D124" s="69">
        <f>'Non-personnel'!H39</f>
        <v>0</v>
      </c>
      <c r="E124" s="69">
        <f>'Non-personnel'!J39</f>
        <v>0</v>
      </c>
      <c r="F124" s="69">
        <f>'Non-personnel'!L39</f>
        <v>0</v>
      </c>
      <c r="G124" s="69">
        <f>'Non-personnel'!N39</f>
        <v>0</v>
      </c>
      <c r="H124" s="69">
        <f>'Non-personnel'!P39</f>
        <v>0</v>
      </c>
      <c r="I124" s="69">
        <f t="shared" si="7"/>
        <v>0</v>
      </c>
    </row>
    <row r="125" spans="1:9" x14ac:dyDescent="0.2">
      <c r="A125" s="711" t="s">
        <v>420</v>
      </c>
      <c r="B125" s="712"/>
      <c r="C125" s="281" t="s">
        <v>412</v>
      </c>
      <c r="D125" s="69">
        <f>'Non-personnel'!H41</f>
        <v>0</v>
      </c>
      <c r="E125" s="69">
        <f>'Non-personnel'!J41</f>
        <v>0</v>
      </c>
      <c r="F125" s="69">
        <f>'Non-personnel'!L41</f>
        <v>0</v>
      </c>
      <c r="G125" s="69">
        <f>'Non-personnel'!N41</f>
        <v>0</v>
      </c>
      <c r="H125" s="69">
        <f>'Non-personnel'!P41</f>
        <v>0</v>
      </c>
      <c r="I125" s="69">
        <f>SUM(D125:H125)</f>
        <v>0</v>
      </c>
    </row>
    <row r="126" spans="1:9" x14ac:dyDescent="0.2">
      <c r="A126" s="359" t="s">
        <v>413</v>
      </c>
      <c r="B126" s="338"/>
      <c r="C126" s="113" t="s">
        <v>411</v>
      </c>
      <c r="D126" s="69">
        <f>'Non-personnel'!H42</f>
        <v>0</v>
      </c>
      <c r="E126" s="69">
        <f>'Non-personnel'!J42</f>
        <v>0</v>
      </c>
      <c r="F126" s="69">
        <f>'Non-personnel'!L42</f>
        <v>0</v>
      </c>
      <c r="G126" s="69">
        <f>'Non-personnel'!N42</f>
        <v>0</v>
      </c>
      <c r="H126" s="69">
        <f>'Non-personnel'!P42</f>
        <v>0</v>
      </c>
      <c r="I126" s="69">
        <f t="shared" ref="I126:I127" si="8">SUM(D126:H126)</f>
        <v>0</v>
      </c>
    </row>
    <row r="127" spans="1:9" x14ac:dyDescent="0.2">
      <c r="A127" s="359" t="s">
        <v>415</v>
      </c>
      <c r="B127" s="338"/>
      <c r="C127" s="281" t="s">
        <v>414</v>
      </c>
      <c r="D127" s="69">
        <f>'Non-personnel'!H43</f>
        <v>0</v>
      </c>
      <c r="E127" s="69">
        <f>'Non-personnel'!J43</f>
        <v>0</v>
      </c>
      <c r="F127" s="69">
        <f>'Non-personnel'!L43</f>
        <v>0</v>
      </c>
      <c r="G127" s="69">
        <f>'Non-personnel'!N43</f>
        <v>0</v>
      </c>
      <c r="H127" s="69">
        <f>'Non-personnel'!P43</f>
        <v>0</v>
      </c>
      <c r="I127" s="69">
        <f t="shared" si="8"/>
        <v>0</v>
      </c>
    </row>
    <row r="128" spans="1:9" x14ac:dyDescent="0.2">
      <c r="A128" s="703" t="str">
        <f>"e)  " &amp; 'Non-personnel'!B44</f>
        <v>e)  Other - Describe</v>
      </c>
      <c r="B128" s="704"/>
      <c r="C128" s="113" t="s">
        <v>161</v>
      </c>
      <c r="D128" s="69">
        <f>'Non-personnel'!H44</f>
        <v>0</v>
      </c>
      <c r="E128" s="69">
        <f>'Non-personnel'!J44</f>
        <v>0</v>
      </c>
      <c r="F128" s="69">
        <f>'Non-personnel'!L44</f>
        <v>0</v>
      </c>
      <c r="G128" s="69">
        <f>'Non-personnel'!N44</f>
        <v>0</v>
      </c>
      <c r="H128" s="69">
        <f>'Non-personnel'!P44</f>
        <v>0</v>
      </c>
      <c r="I128" s="69">
        <f>SUM(D128:H128)</f>
        <v>0</v>
      </c>
    </row>
    <row r="129" spans="1:9" x14ac:dyDescent="0.2">
      <c r="A129" s="703" t="str">
        <f>"f )  " &amp; 'Non-personnel'!B45</f>
        <v>f )  Other - Describe</v>
      </c>
      <c r="B129" s="704"/>
      <c r="C129" s="113" t="s">
        <v>162</v>
      </c>
      <c r="D129" s="69">
        <f>'Non-personnel'!H45</f>
        <v>0</v>
      </c>
      <c r="E129" s="69">
        <f>'Non-personnel'!J45</f>
        <v>0</v>
      </c>
      <c r="F129" s="69">
        <f>'Non-personnel'!L45</f>
        <v>0</v>
      </c>
      <c r="G129" s="69">
        <f>'Non-personnel'!N45</f>
        <v>0</v>
      </c>
      <c r="H129" s="69">
        <f>'Non-personnel'!P45</f>
        <v>0</v>
      </c>
      <c r="I129" s="69">
        <f t="shared" ref="I129" si="9">SUM(D129:H129)</f>
        <v>0</v>
      </c>
    </row>
    <row r="130" spans="1:9" x14ac:dyDescent="0.2">
      <c r="A130" s="703" t="str">
        <f>"g)  " &amp; 'Non-personnel'!B46</f>
        <v>g)  Other - Describe</v>
      </c>
      <c r="B130" s="704"/>
      <c r="C130" s="113" t="s">
        <v>163</v>
      </c>
      <c r="D130" s="69">
        <f>'Non-personnel'!H46</f>
        <v>0</v>
      </c>
      <c r="E130" s="69">
        <f>'Non-personnel'!J46</f>
        <v>0</v>
      </c>
      <c r="F130" s="69">
        <f>'Non-personnel'!L46</f>
        <v>0</v>
      </c>
      <c r="G130" s="69">
        <f>'Non-personnel'!N46</f>
        <v>0</v>
      </c>
      <c r="H130" s="69">
        <f>'Non-personnel'!P46</f>
        <v>0</v>
      </c>
      <c r="I130" s="69">
        <f>SUM(D130:H130)</f>
        <v>0</v>
      </c>
    </row>
    <row r="131" spans="1:9" x14ac:dyDescent="0.2">
      <c r="A131" s="703" t="str">
        <f>"h)  " &amp; 'Non-personnel'!B47</f>
        <v>h)  Other - Describe</v>
      </c>
      <c r="B131" s="704"/>
      <c r="C131" s="113" t="s">
        <v>165</v>
      </c>
      <c r="D131" s="69">
        <f>'Non-personnel'!H47</f>
        <v>0</v>
      </c>
      <c r="E131" s="69">
        <f>'Non-personnel'!J47</f>
        <v>0</v>
      </c>
      <c r="F131" s="69">
        <f>'Non-personnel'!L47</f>
        <v>0</v>
      </c>
      <c r="G131" s="69">
        <f>'Non-personnel'!N47</f>
        <v>0</v>
      </c>
      <c r="H131" s="69">
        <f>'Non-personnel'!P47</f>
        <v>0</v>
      </c>
      <c r="I131" s="69">
        <f t="shared" si="7"/>
        <v>0</v>
      </c>
    </row>
    <row r="132" spans="1:9" x14ac:dyDescent="0.2">
      <c r="A132" s="463"/>
      <c r="B132" s="501"/>
      <c r="C132" s="114" t="s">
        <v>166</v>
      </c>
      <c r="D132" s="77">
        <f>SUM(D122,D123,D130,D131,D128,D129)</f>
        <v>0</v>
      </c>
      <c r="E132" s="77">
        <f t="shared" ref="E132:H132" si="10">SUM(E122,E123,E130,E131,E128,E129)</f>
        <v>0</v>
      </c>
      <c r="F132" s="77">
        <f t="shared" si="10"/>
        <v>0</v>
      </c>
      <c r="G132" s="77">
        <f t="shared" si="10"/>
        <v>0</v>
      </c>
      <c r="H132" s="77">
        <f t="shared" si="10"/>
        <v>0</v>
      </c>
      <c r="I132" s="77">
        <f t="shared" si="7"/>
        <v>0</v>
      </c>
    </row>
    <row r="133" spans="1:9" x14ac:dyDescent="0.2">
      <c r="A133" s="727" t="s">
        <v>167</v>
      </c>
      <c r="B133" s="753"/>
      <c r="C133" s="114"/>
      <c r="D133" s="115">
        <f>SUM(D115,D116,D118,D122,D123,D127,D130,D131,D129,D128)</f>
        <v>0</v>
      </c>
      <c r="E133" s="115">
        <f t="shared" ref="E133:H133" si="11">SUM(E115,E116,E118,E122,E123,E127,E130,E131,E129,E128)</f>
        <v>0</v>
      </c>
      <c r="F133" s="115">
        <f t="shared" si="11"/>
        <v>0</v>
      </c>
      <c r="G133" s="115">
        <f t="shared" si="11"/>
        <v>0</v>
      </c>
      <c r="H133" s="115">
        <f t="shared" si="11"/>
        <v>0</v>
      </c>
      <c r="I133" s="77">
        <f t="shared" si="7"/>
        <v>0</v>
      </c>
    </row>
    <row r="134" spans="1:9" x14ac:dyDescent="0.2">
      <c r="A134" s="727" t="s">
        <v>168</v>
      </c>
      <c r="B134" s="752"/>
      <c r="C134" s="114"/>
      <c r="D134" s="115">
        <f>SUM(D126,D125,D124,D120,D119)</f>
        <v>0</v>
      </c>
      <c r="E134" s="115">
        <f t="shared" ref="E134:H134" si="12">SUM(E126,E125,E124,E120,E119)</f>
        <v>0</v>
      </c>
      <c r="F134" s="115">
        <f t="shared" si="12"/>
        <v>0</v>
      </c>
      <c r="G134" s="115">
        <f t="shared" si="12"/>
        <v>0</v>
      </c>
      <c r="H134" s="115">
        <f t="shared" si="12"/>
        <v>0</v>
      </c>
      <c r="I134" s="77">
        <f t="shared" si="7"/>
        <v>0</v>
      </c>
    </row>
    <row r="135" spans="1:9" x14ac:dyDescent="0.2">
      <c r="A135" s="705" t="s">
        <v>169</v>
      </c>
      <c r="B135" s="706"/>
      <c r="C135" s="116"/>
      <c r="D135" s="109">
        <f>SUM(D133:D134)</f>
        <v>0</v>
      </c>
      <c r="E135" s="109">
        <f>SUM(E133:E134)</f>
        <v>0</v>
      </c>
      <c r="F135" s="109">
        <f>SUM(F133:F134)</f>
        <v>0</v>
      </c>
      <c r="G135" s="109">
        <f>SUM(G133:G134)</f>
        <v>0</v>
      </c>
      <c r="H135" s="109">
        <f>SUM(H133:H134)</f>
        <v>0</v>
      </c>
      <c r="I135" s="79">
        <f t="shared" si="7"/>
        <v>0</v>
      </c>
    </row>
    <row r="136" spans="1:9" ht="13.5" thickTop="1" x14ac:dyDescent="0.2">
      <c r="A136" s="163"/>
      <c r="B136" s="117"/>
      <c r="C136" s="117"/>
      <c r="D136" s="117"/>
      <c r="E136" s="117"/>
      <c r="F136" s="117"/>
      <c r="G136" s="117"/>
      <c r="H136" s="117"/>
      <c r="I136" s="117"/>
    </row>
    <row r="137" spans="1:9" ht="15.75" x14ac:dyDescent="0.25">
      <c r="A137" s="751" t="s">
        <v>170</v>
      </c>
      <c r="B137" s="472"/>
      <c r="C137" s="64"/>
      <c r="D137" s="82"/>
      <c r="E137" s="82"/>
      <c r="F137" s="82"/>
      <c r="G137" s="82"/>
      <c r="H137" s="82"/>
      <c r="I137" s="82"/>
    </row>
    <row r="138" spans="1:9" x14ac:dyDescent="0.2">
      <c r="A138" s="164"/>
      <c r="B138" s="201"/>
      <c r="C138" s="66" t="s">
        <v>119</v>
      </c>
      <c r="D138" s="82" t="s">
        <v>32</v>
      </c>
      <c r="E138" s="82" t="s">
        <v>33</v>
      </c>
      <c r="F138" s="82" t="s">
        <v>34</v>
      </c>
      <c r="G138" s="82" t="s">
        <v>35</v>
      </c>
      <c r="H138" s="82" t="s">
        <v>36</v>
      </c>
      <c r="I138" s="67" t="s">
        <v>37</v>
      </c>
    </row>
    <row r="139" spans="1:9" ht="15.75" x14ac:dyDescent="0.25">
      <c r="A139" s="227" t="str">
        <f>'Non-personnel'!B57</f>
        <v>MTDC-Fed</v>
      </c>
      <c r="B139" s="757" t="s">
        <v>171</v>
      </c>
      <c r="C139" s="757"/>
      <c r="D139" s="229">
        <f>IF(AND('Non-personnel'!F57&lt;&gt;"",NOT(ISBLANK('Non-personnel'!F57))),IFERROR(LOOKUP('Non-personnel'!C57,IDCDesc,IDCRate),'Non-personnel'!C57),"")</f>
        <v>0.495</v>
      </c>
      <c r="E139" s="229" t="str">
        <f>IF(AND('Non-personnel'!F58&lt;&gt;"",NOT(ISBLANK('Non-personnel'!F58))),IFERROR(LOOKUP('Non-personnel'!C58,IDCDesc2,IDCRate2),'Non-personnel'!C58),"")</f>
        <v/>
      </c>
      <c r="F139" s="229" t="str">
        <f>IF(AND('Non-personnel'!F59&lt;&gt;"",NOT(ISBLANK('Non-personnel'!F59))),IFERROR(LOOKUP('Non-personnel'!C59,IDCDesc2,IDCRate2),'Non-personnel'!C59),"")</f>
        <v/>
      </c>
      <c r="G139" s="229" t="str">
        <f>IF(AND('Non-personnel'!F60&lt;&gt;"",NOT(ISBLANK('Non-personnel'!F60))),IFERROR(LOOKUP('Non-personnel'!C60,IDCDesc2,IDCRate2),'Non-personnel'!C60),"")</f>
        <v/>
      </c>
      <c r="H139" s="229" t="str">
        <f>IF(AND('Non-personnel'!F61&lt;&gt;"",NOT(ISBLANK('Non-personnel'!F61))),IFERROR(LOOKUP('Non-personnel'!C61,IDCDesc2,IDCRate2),'Non-personnel'!C61),"")</f>
        <v/>
      </c>
      <c r="I139" s="230"/>
    </row>
    <row r="140" spans="1:9" x14ac:dyDescent="0.2">
      <c r="A140" s="714" t="s">
        <v>172</v>
      </c>
      <c r="B140" s="715"/>
      <c r="C140" s="118"/>
      <c r="D140" s="160">
        <f>SUM('Non-personnel'!F57)</f>
        <v>0</v>
      </c>
      <c r="E140" s="160">
        <f>SUM('Non-personnel'!F58)</f>
        <v>0</v>
      </c>
      <c r="F140" s="160">
        <f>SUM('Non-personnel'!F59)</f>
        <v>0</v>
      </c>
      <c r="G140" s="160">
        <f>SUM('Non-personnel'!F60)</f>
        <v>0</v>
      </c>
      <c r="H140" s="160">
        <f>SUM('Non-personnel'!F61)</f>
        <v>0</v>
      </c>
      <c r="I140" s="161">
        <f>SUM(D140:H140)</f>
        <v>0</v>
      </c>
    </row>
    <row r="141" spans="1:9" ht="13.5" thickBot="1" x14ac:dyDescent="0.25">
      <c r="A141" s="755" t="s">
        <v>173</v>
      </c>
      <c r="B141" s="756"/>
      <c r="C141" s="108"/>
      <c r="D141" s="162">
        <f>D143-D140</f>
        <v>0</v>
      </c>
      <c r="E141" s="162">
        <f>E143-E140</f>
        <v>0</v>
      </c>
      <c r="F141" s="162">
        <f>F143-F140</f>
        <v>0</v>
      </c>
      <c r="G141" s="162">
        <f>G143-G140</f>
        <v>0</v>
      </c>
      <c r="H141" s="162">
        <f>H143-H140</f>
        <v>0</v>
      </c>
      <c r="I141" s="165">
        <f>SUM(D141:H141)</f>
        <v>0</v>
      </c>
    </row>
    <row r="142" spans="1:9" ht="13.5" thickTop="1" x14ac:dyDescent="0.2">
      <c r="A142" s="120"/>
      <c r="B142" s="120"/>
      <c r="C142" s="120"/>
      <c r="D142" s="120"/>
      <c r="E142" s="120"/>
      <c r="F142" s="120"/>
      <c r="G142" s="120"/>
      <c r="H142" s="120"/>
      <c r="I142" s="120"/>
    </row>
    <row r="143" spans="1:9" ht="13.5" thickBot="1" x14ac:dyDescent="0.25">
      <c r="A143" s="718" t="s">
        <v>174</v>
      </c>
      <c r="B143" s="719"/>
      <c r="C143" s="121"/>
      <c r="D143" s="122">
        <f>'Non-personnel'!H52</f>
        <v>0</v>
      </c>
      <c r="E143" s="122">
        <f>'Non-personnel'!J52</f>
        <v>0</v>
      </c>
      <c r="F143" s="122">
        <f>'Non-personnel'!L52</f>
        <v>0</v>
      </c>
      <c r="G143" s="122">
        <f>'Non-personnel'!N52</f>
        <v>0</v>
      </c>
      <c r="H143" s="122">
        <f>'Non-personnel'!P52</f>
        <v>0</v>
      </c>
      <c r="I143" s="123">
        <f>SUM(D143:H143)</f>
        <v>0</v>
      </c>
    </row>
    <row r="144" spans="1:9" ht="13.5" thickTop="1" x14ac:dyDescent="0.2">
      <c r="A144" s="124"/>
      <c r="B144" s="125"/>
      <c r="C144" s="126"/>
      <c r="D144" s="126"/>
      <c r="E144" s="132"/>
      <c r="F144" s="126"/>
      <c r="G144" s="126"/>
      <c r="H144" s="126"/>
      <c r="I144" s="126"/>
    </row>
    <row r="145" spans="1:9" ht="13.5" thickBot="1" x14ac:dyDescent="0.25">
      <c r="A145" s="718" t="s">
        <v>175</v>
      </c>
      <c r="B145" s="719"/>
      <c r="C145" s="127" t="s">
        <v>176</v>
      </c>
      <c r="D145" s="128">
        <f>'Non-personnel'!H62</f>
        <v>0</v>
      </c>
      <c r="E145" s="128">
        <f>'Non-personnel'!J62</f>
        <v>0</v>
      </c>
      <c r="F145" s="128">
        <f>'Non-personnel'!L62</f>
        <v>0</v>
      </c>
      <c r="G145" s="128">
        <f>'Non-personnel'!N62</f>
        <v>0</v>
      </c>
      <c r="H145" s="128">
        <f>'Non-personnel'!P62</f>
        <v>0</v>
      </c>
      <c r="I145" s="129">
        <f>SUM(D145:H145)</f>
        <v>0</v>
      </c>
    </row>
    <row r="146" spans="1:9" ht="13.5" thickTop="1" x14ac:dyDescent="0.2">
      <c r="A146" s="130"/>
      <c r="B146" s="131"/>
      <c r="C146" s="126"/>
      <c r="D146" s="126"/>
      <c r="E146" s="132"/>
      <c r="F146" s="126"/>
      <c r="G146" s="126"/>
      <c r="H146" s="126"/>
      <c r="I146" s="126"/>
    </row>
    <row r="147" spans="1:9" ht="13.5" thickBot="1" x14ac:dyDescent="0.25">
      <c r="A147" s="707" t="s">
        <v>177</v>
      </c>
      <c r="B147" s="708"/>
      <c r="C147" s="133"/>
      <c r="D147" s="109">
        <f>'Non-personnel'!H66</f>
        <v>0</v>
      </c>
      <c r="E147" s="109">
        <f>'Non-personnel'!J66</f>
        <v>0</v>
      </c>
      <c r="F147" s="109">
        <f>'Non-personnel'!L66</f>
        <v>0</v>
      </c>
      <c r="G147" s="109">
        <f>'Non-personnel'!N66</f>
        <v>0</v>
      </c>
      <c r="H147" s="109">
        <f>'Non-personnel'!P66</f>
        <v>0</v>
      </c>
      <c r="I147" s="79">
        <f>SUM(D147:H147)</f>
        <v>0</v>
      </c>
    </row>
    <row r="148" spans="1:9" ht="14.25" thickTop="1" thickBot="1" x14ac:dyDescent="0.25">
      <c r="A148" s="720" t="s">
        <v>178</v>
      </c>
      <c r="B148" s="721"/>
      <c r="C148" s="134"/>
      <c r="D148" s="149">
        <v>0</v>
      </c>
      <c r="E148" s="149">
        <v>0</v>
      </c>
      <c r="F148" s="149">
        <v>0</v>
      </c>
      <c r="G148" s="149">
        <v>0</v>
      </c>
      <c r="H148" s="149">
        <v>0</v>
      </c>
      <c r="I148" s="149">
        <f>SUM(D148:H148)</f>
        <v>0</v>
      </c>
    </row>
    <row r="149" spans="1:9" ht="13.5" thickTop="1" x14ac:dyDescent="0.2">
      <c r="A149" s="148"/>
      <c r="B149" s="135"/>
      <c r="C149" s="126"/>
      <c r="D149" s="126"/>
      <c r="E149" s="126"/>
      <c r="F149" s="126"/>
      <c r="G149" s="126"/>
      <c r="H149" s="126"/>
      <c r="I149" s="126"/>
    </row>
    <row r="150" spans="1:9" ht="13.5" thickBot="1" x14ac:dyDescent="0.25">
      <c r="A150" s="722" t="s">
        <v>179</v>
      </c>
      <c r="B150" s="723"/>
      <c r="C150" s="136"/>
      <c r="D150" s="122">
        <f>D147</f>
        <v>0</v>
      </c>
      <c r="E150" s="122">
        <f>E147</f>
        <v>0</v>
      </c>
      <c r="F150" s="122">
        <f>F147</f>
        <v>0</v>
      </c>
      <c r="G150" s="122">
        <f>G147</f>
        <v>0</v>
      </c>
      <c r="H150" s="122">
        <f>H147</f>
        <v>0</v>
      </c>
      <c r="I150" s="123">
        <f>SUM(D150:H150)</f>
        <v>0</v>
      </c>
    </row>
    <row r="151" spans="1:9" ht="13.5" thickTop="1" x14ac:dyDescent="0.2">
      <c r="A151" s="137"/>
      <c r="B151" s="137"/>
      <c r="C151" s="137"/>
      <c r="D151" s="137"/>
      <c r="E151" s="137"/>
      <c r="F151" s="137"/>
      <c r="G151" s="137"/>
      <c r="H151" s="137"/>
      <c r="I151" s="137"/>
    </row>
    <row r="152" spans="1:9" ht="15.75" x14ac:dyDescent="0.25">
      <c r="A152" s="724" t="s">
        <v>180</v>
      </c>
      <c r="B152" s="724"/>
      <c r="C152" s="66" t="s">
        <v>119</v>
      </c>
      <c r="D152" s="67" t="s">
        <v>32</v>
      </c>
      <c r="E152" s="67" t="s">
        <v>33</v>
      </c>
      <c r="F152" s="67" t="s">
        <v>34</v>
      </c>
      <c r="G152" s="67" t="s">
        <v>35</v>
      </c>
      <c r="H152" s="67" t="s">
        <v>36</v>
      </c>
      <c r="I152" s="67" t="s">
        <v>37</v>
      </c>
    </row>
    <row r="153" spans="1:9" x14ac:dyDescent="0.2">
      <c r="A153" s="716" t="str">
        <f>IF(ISBLANK('Non-personnel'!B70),"",'Non-personnel'!B70)</f>
        <v/>
      </c>
      <c r="B153" s="138" t="s">
        <v>37</v>
      </c>
      <c r="C153" s="139"/>
      <c r="D153" s="152">
        <f>SUM('Non-personnel'!H70,'Non-personnel'!I70)</f>
        <v>0</v>
      </c>
      <c r="E153" s="152">
        <f>SUM('Non-personnel'!J70,'Non-personnel'!K70)</f>
        <v>0</v>
      </c>
      <c r="F153" s="152">
        <f>SUM('Non-personnel'!L70,'Non-personnel'!M70)</f>
        <v>0</v>
      </c>
      <c r="G153" s="152">
        <f>SUM('Non-personnel'!N70,'Non-personnel'!O70)</f>
        <v>0</v>
      </c>
      <c r="H153" s="152">
        <f>SUM('Non-personnel'!P70,'Non-personnel'!Q70)</f>
        <v>0</v>
      </c>
      <c r="I153" s="153">
        <f t="shared" ref="I153:I174" si="13">SUM(D153:H153)</f>
        <v>0</v>
      </c>
    </row>
    <row r="154" spans="1:9" x14ac:dyDescent="0.2">
      <c r="A154" s="717"/>
      <c r="B154" s="139" t="s">
        <v>181</v>
      </c>
      <c r="C154" s="138"/>
      <c r="D154" s="152">
        <f>'Non-personnel'!H71</f>
        <v>0</v>
      </c>
      <c r="E154" s="152">
        <f>'Non-personnel'!J71</f>
        <v>0</v>
      </c>
      <c r="F154" s="152">
        <f>'Non-personnel'!L71</f>
        <v>0</v>
      </c>
      <c r="G154" s="152">
        <f>'Non-personnel'!N71</f>
        <v>0</v>
      </c>
      <c r="H154" s="152">
        <f>'Non-personnel'!P71</f>
        <v>0</v>
      </c>
      <c r="I154" s="154">
        <f t="shared" si="13"/>
        <v>0</v>
      </c>
    </row>
    <row r="155" spans="1:9" x14ac:dyDescent="0.2">
      <c r="A155" s="716" t="str">
        <f>IF(ISBLANK('Non-personnel'!B72),"",'Non-personnel'!B72)</f>
        <v/>
      </c>
      <c r="B155" s="139" t="s">
        <v>37</v>
      </c>
      <c r="C155" s="138"/>
      <c r="D155" s="152">
        <f>SUM('Non-personnel'!H72,'Non-personnel'!I72)</f>
        <v>0</v>
      </c>
      <c r="E155" s="152">
        <f>SUM('Non-personnel'!J72,'Non-personnel'!K72)</f>
        <v>0</v>
      </c>
      <c r="F155" s="152">
        <f>SUM('Non-personnel'!L72,'Non-personnel'!M72)</f>
        <v>0</v>
      </c>
      <c r="G155" s="152">
        <f>SUM('Non-personnel'!N72,'Non-personnel'!O72)</f>
        <v>0</v>
      </c>
      <c r="H155" s="152">
        <f>SUM('Non-personnel'!P72,'Non-personnel'!Q72)</f>
        <v>0</v>
      </c>
      <c r="I155" s="154">
        <f t="shared" si="13"/>
        <v>0</v>
      </c>
    </row>
    <row r="156" spans="1:9" x14ac:dyDescent="0.2">
      <c r="A156" s="717"/>
      <c r="B156" s="139" t="s">
        <v>181</v>
      </c>
      <c r="C156" s="138"/>
      <c r="D156" s="152">
        <f>'Non-personnel'!H73</f>
        <v>0</v>
      </c>
      <c r="E156" s="152">
        <f>'Non-personnel'!J73</f>
        <v>0</v>
      </c>
      <c r="F156" s="152">
        <f>'Non-personnel'!L73</f>
        <v>0</v>
      </c>
      <c r="G156" s="152">
        <f>'Non-personnel'!N73</f>
        <v>0</v>
      </c>
      <c r="H156" s="152">
        <f>'Non-personnel'!P73</f>
        <v>0</v>
      </c>
      <c r="I156" s="154">
        <f t="shared" si="13"/>
        <v>0</v>
      </c>
    </row>
    <row r="157" spans="1:9" x14ac:dyDescent="0.2">
      <c r="A157" s="716" t="str">
        <f>IF(ISBLANK('Non-personnel'!B74),"",'Non-personnel'!B74)</f>
        <v/>
      </c>
      <c r="B157" s="140" t="s">
        <v>37</v>
      </c>
      <c r="C157" s="139"/>
      <c r="D157" s="152">
        <f>SUM('Non-personnel'!H74,'Non-personnel'!I74)</f>
        <v>0</v>
      </c>
      <c r="E157" s="152">
        <f>SUM('Non-personnel'!J74,'Non-personnel'!K74)</f>
        <v>0</v>
      </c>
      <c r="F157" s="152">
        <f>SUM('Non-personnel'!L74,'Non-personnel'!M74)</f>
        <v>0</v>
      </c>
      <c r="G157" s="152">
        <f>SUM('Non-personnel'!N74,'Non-personnel'!O74)</f>
        <v>0</v>
      </c>
      <c r="H157" s="152">
        <f>SUM('Non-personnel'!P74,'Non-personnel'!Q74)</f>
        <v>0</v>
      </c>
      <c r="I157" s="154">
        <f t="shared" si="13"/>
        <v>0</v>
      </c>
    </row>
    <row r="158" spans="1:9" x14ac:dyDescent="0.2">
      <c r="A158" s="717"/>
      <c r="B158" s="139" t="s">
        <v>181</v>
      </c>
      <c r="C158" s="138"/>
      <c r="D158" s="152">
        <f>'Non-personnel'!H75</f>
        <v>0</v>
      </c>
      <c r="E158" s="152">
        <f>'Non-personnel'!J75</f>
        <v>0</v>
      </c>
      <c r="F158" s="152">
        <f>'Non-personnel'!L75</f>
        <v>0</v>
      </c>
      <c r="G158" s="152">
        <f>'Non-personnel'!N75</f>
        <v>0</v>
      </c>
      <c r="H158" s="152">
        <f>'Non-personnel'!P75</f>
        <v>0</v>
      </c>
      <c r="I158" s="154">
        <f t="shared" si="13"/>
        <v>0</v>
      </c>
    </row>
    <row r="159" spans="1:9" x14ac:dyDescent="0.2">
      <c r="A159" s="716" t="str">
        <f>IF(ISBLANK('Non-personnel'!B76),"",'Non-personnel'!B76)</f>
        <v/>
      </c>
      <c r="B159" s="139" t="s">
        <v>37</v>
      </c>
      <c r="C159" s="138"/>
      <c r="D159" s="152">
        <f>SUM('Non-personnel'!H76,'Non-personnel'!I76)</f>
        <v>0</v>
      </c>
      <c r="E159" s="152">
        <f>SUM('Non-personnel'!J76,'Non-personnel'!K76)</f>
        <v>0</v>
      </c>
      <c r="F159" s="152">
        <f>SUM('Non-personnel'!L76,'Non-personnel'!M76)</f>
        <v>0</v>
      </c>
      <c r="G159" s="152">
        <f>SUM('Non-personnel'!N76,'Non-personnel'!O76)</f>
        <v>0</v>
      </c>
      <c r="H159" s="152">
        <f>SUM('Non-personnel'!P76,'Non-personnel'!Q76)</f>
        <v>0</v>
      </c>
      <c r="I159" s="154">
        <f t="shared" si="13"/>
        <v>0</v>
      </c>
    </row>
    <row r="160" spans="1:9" x14ac:dyDescent="0.2">
      <c r="A160" s="717"/>
      <c r="B160" s="139" t="s">
        <v>181</v>
      </c>
      <c r="C160" s="138"/>
      <c r="D160" s="152">
        <f>'Non-personnel'!H77</f>
        <v>0</v>
      </c>
      <c r="E160" s="152">
        <f>'Non-personnel'!J77</f>
        <v>0</v>
      </c>
      <c r="F160" s="152">
        <f>'Non-personnel'!L77</f>
        <v>0</v>
      </c>
      <c r="G160" s="152">
        <f>'Non-personnel'!N77</f>
        <v>0</v>
      </c>
      <c r="H160" s="152">
        <f>'Non-personnel'!P77</f>
        <v>0</v>
      </c>
      <c r="I160" s="154">
        <f t="shared" si="13"/>
        <v>0</v>
      </c>
    </row>
    <row r="161" spans="1:9" x14ac:dyDescent="0.2">
      <c r="A161" s="716" t="str">
        <f>IF(ISBLANK('Non-personnel'!B78),"",'Non-personnel'!B78)</f>
        <v/>
      </c>
      <c r="B161" s="139" t="s">
        <v>37</v>
      </c>
      <c r="C161" s="138"/>
      <c r="D161" s="152">
        <f>SUM('Non-personnel'!H78,'Non-personnel'!I78)</f>
        <v>0</v>
      </c>
      <c r="E161" s="152">
        <f>SUM('Non-personnel'!J78,'Non-personnel'!K78)</f>
        <v>0</v>
      </c>
      <c r="F161" s="152">
        <f>SUM('Non-personnel'!L78,'Non-personnel'!M78)</f>
        <v>0</v>
      </c>
      <c r="G161" s="152">
        <f>SUM('Non-personnel'!N78,'Non-personnel'!O78)</f>
        <v>0</v>
      </c>
      <c r="H161" s="152">
        <f>SUM('Non-personnel'!P78,'Non-personnel'!Q78)</f>
        <v>0</v>
      </c>
      <c r="I161" s="154">
        <f t="shared" si="13"/>
        <v>0</v>
      </c>
    </row>
    <row r="162" spans="1:9" x14ac:dyDescent="0.2">
      <c r="A162" s="717"/>
      <c r="B162" s="139" t="s">
        <v>181</v>
      </c>
      <c r="C162" s="141"/>
      <c r="D162" s="152">
        <f>'Non-personnel'!H79</f>
        <v>0</v>
      </c>
      <c r="E162" s="152">
        <f>'Non-personnel'!J79</f>
        <v>0</v>
      </c>
      <c r="F162" s="152">
        <f>'Non-personnel'!L79</f>
        <v>0</v>
      </c>
      <c r="G162" s="152">
        <f>'Non-personnel'!N79</f>
        <v>0</v>
      </c>
      <c r="H162" s="152">
        <f>'Non-personnel'!P79</f>
        <v>0</v>
      </c>
      <c r="I162" s="155">
        <f t="shared" si="13"/>
        <v>0</v>
      </c>
    </row>
    <row r="163" spans="1:9" x14ac:dyDescent="0.2">
      <c r="A163" s="716" t="str">
        <f>IF(ISBLANK('Non-personnel'!B80),"",'Non-personnel'!B80)</f>
        <v/>
      </c>
      <c r="B163" s="139" t="s">
        <v>37</v>
      </c>
      <c r="C163" s="141"/>
      <c r="D163" s="152">
        <f>SUM('Non-personnel'!H80,'Non-personnel'!I80)</f>
        <v>0</v>
      </c>
      <c r="E163" s="152">
        <f>SUM('Non-personnel'!J80,'Non-personnel'!K80)</f>
        <v>0</v>
      </c>
      <c r="F163" s="152">
        <f>SUM('Non-personnel'!L80,'Non-personnel'!M80)</f>
        <v>0</v>
      </c>
      <c r="G163" s="152">
        <f>SUM('Non-personnel'!N80,'Non-personnel'!O80)</f>
        <v>0</v>
      </c>
      <c r="H163" s="152">
        <f>SUM('Non-personnel'!P80,'Non-personnel'!Q80)</f>
        <v>0</v>
      </c>
      <c r="I163" s="155">
        <f t="shared" si="13"/>
        <v>0</v>
      </c>
    </row>
    <row r="164" spans="1:9" x14ac:dyDescent="0.2">
      <c r="A164" s="717"/>
      <c r="B164" s="139" t="s">
        <v>181</v>
      </c>
      <c r="C164" s="141"/>
      <c r="D164" s="152">
        <f>'Non-personnel'!H81</f>
        <v>0</v>
      </c>
      <c r="E164" s="152">
        <f>'Non-personnel'!J81</f>
        <v>0</v>
      </c>
      <c r="F164" s="152">
        <f>'Non-personnel'!L81</f>
        <v>0</v>
      </c>
      <c r="G164" s="152">
        <f>'Non-personnel'!N81</f>
        <v>0</v>
      </c>
      <c r="H164" s="152">
        <f>'Non-personnel'!P81</f>
        <v>0</v>
      </c>
      <c r="I164" s="155">
        <f t="shared" si="13"/>
        <v>0</v>
      </c>
    </row>
    <row r="165" spans="1:9" x14ac:dyDescent="0.2">
      <c r="A165" s="716" t="str">
        <f>IF(ISBLANK('Non-personnel'!B82),"",'Non-personnel'!B82)</f>
        <v/>
      </c>
      <c r="B165" s="139" t="s">
        <v>37</v>
      </c>
      <c r="C165" s="141"/>
      <c r="D165" s="152">
        <f>SUM('Non-personnel'!H82,'Non-personnel'!I82)</f>
        <v>0</v>
      </c>
      <c r="E165" s="152">
        <f>SUM('Non-personnel'!J82,'Non-personnel'!K82)</f>
        <v>0</v>
      </c>
      <c r="F165" s="152">
        <f>SUM('Non-personnel'!L82,'Non-personnel'!M82)</f>
        <v>0</v>
      </c>
      <c r="G165" s="152">
        <f>SUM('Non-personnel'!N82,'Non-personnel'!O82)</f>
        <v>0</v>
      </c>
      <c r="H165" s="152">
        <f>SUM('Non-personnel'!P82,'Non-personnel'!Q82)</f>
        <v>0</v>
      </c>
      <c r="I165" s="155">
        <f t="shared" si="13"/>
        <v>0</v>
      </c>
    </row>
    <row r="166" spans="1:9" x14ac:dyDescent="0.2">
      <c r="A166" s="717"/>
      <c r="B166" s="139" t="s">
        <v>181</v>
      </c>
      <c r="C166" s="141"/>
      <c r="D166" s="152">
        <f>'Non-personnel'!H83</f>
        <v>0</v>
      </c>
      <c r="E166" s="152">
        <f>'Non-personnel'!J83</f>
        <v>0</v>
      </c>
      <c r="F166" s="152">
        <f>'Non-personnel'!L83</f>
        <v>0</v>
      </c>
      <c r="G166" s="152">
        <f>'Non-personnel'!N83</f>
        <v>0</v>
      </c>
      <c r="H166" s="152">
        <f>'Non-personnel'!P83</f>
        <v>0</v>
      </c>
      <c r="I166" s="155">
        <f t="shared" si="13"/>
        <v>0</v>
      </c>
    </row>
    <row r="167" spans="1:9" x14ac:dyDescent="0.2">
      <c r="A167" s="716" t="str">
        <f>IF(ISBLANK('Non-personnel'!B84),"",'Non-personnel'!B84)</f>
        <v/>
      </c>
      <c r="B167" s="139" t="s">
        <v>37</v>
      </c>
      <c r="C167" s="141"/>
      <c r="D167" s="152">
        <f>SUM('Non-personnel'!H84,'Non-personnel'!I84)</f>
        <v>0</v>
      </c>
      <c r="E167" s="152">
        <f>SUM('Non-personnel'!J84,'Non-personnel'!K84)</f>
        <v>0</v>
      </c>
      <c r="F167" s="152">
        <f>SUM('Non-personnel'!L84,'Non-personnel'!M84)</f>
        <v>0</v>
      </c>
      <c r="G167" s="152">
        <f>SUM('Non-personnel'!N84,'Non-personnel'!O84)</f>
        <v>0</v>
      </c>
      <c r="H167" s="152">
        <f>SUM('Non-personnel'!P84,'Non-personnel'!Q84)</f>
        <v>0</v>
      </c>
      <c r="I167" s="155">
        <f t="shared" si="13"/>
        <v>0</v>
      </c>
    </row>
    <row r="168" spans="1:9" x14ac:dyDescent="0.2">
      <c r="A168" s="717"/>
      <c r="B168" s="139" t="s">
        <v>181</v>
      </c>
      <c r="C168" s="141"/>
      <c r="D168" s="152">
        <f>'Non-personnel'!H85</f>
        <v>0</v>
      </c>
      <c r="E168" s="152">
        <f>'Non-personnel'!J85</f>
        <v>0</v>
      </c>
      <c r="F168" s="152">
        <f>'Non-personnel'!L85</f>
        <v>0</v>
      </c>
      <c r="G168" s="152">
        <f>'Non-personnel'!N85</f>
        <v>0</v>
      </c>
      <c r="H168" s="152">
        <f>'Non-personnel'!P85</f>
        <v>0</v>
      </c>
      <c r="I168" s="155">
        <f t="shared" si="13"/>
        <v>0</v>
      </c>
    </row>
    <row r="169" spans="1:9" x14ac:dyDescent="0.2">
      <c r="A169" s="716" t="str">
        <f>IF(ISBLANK('Non-personnel'!B86),"",'Non-personnel'!B86)</f>
        <v/>
      </c>
      <c r="B169" s="139" t="s">
        <v>37</v>
      </c>
      <c r="C169" s="141"/>
      <c r="D169" s="152">
        <f>SUM('Non-personnel'!H86,'Non-personnel'!I86)</f>
        <v>0</v>
      </c>
      <c r="E169" s="152">
        <f>SUM('Non-personnel'!J86,'Non-personnel'!K86)</f>
        <v>0</v>
      </c>
      <c r="F169" s="152">
        <f>SUM('Non-personnel'!L86,'Non-personnel'!M86)</f>
        <v>0</v>
      </c>
      <c r="G169" s="152">
        <f>SUM('Non-personnel'!N86,'Non-personnel'!O86)</f>
        <v>0</v>
      </c>
      <c r="H169" s="152">
        <f>SUM('Non-personnel'!P86,'Non-personnel'!Q86)</f>
        <v>0</v>
      </c>
      <c r="I169" s="155">
        <f t="shared" si="13"/>
        <v>0</v>
      </c>
    </row>
    <row r="170" spans="1:9" x14ac:dyDescent="0.2">
      <c r="A170" s="717"/>
      <c r="B170" s="139" t="s">
        <v>181</v>
      </c>
      <c r="C170" s="141"/>
      <c r="D170" s="152">
        <f>'Non-personnel'!H87</f>
        <v>0</v>
      </c>
      <c r="E170" s="152">
        <f>'Non-personnel'!J87</f>
        <v>0</v>
      </c>
      <c r="F170" s="152">
        <f>'Non-personnel'!L87</f>
        <v>0</v>
      </c>
      <c r="G170" s="152">
        <f>'Non-personnel'!N87</f>
        <v>0</v>
      </c>
      <c r="H170" s="152">
        <f>'Non-personnel'!P87</f>
        <v>0</v>
      </c>
      <c r="I170" s="155">
        <f t="shared" si="13"/>
        <v>0</v>
      </c>
    </row>
    <row r="171" spans="1:9" x14ac:dyDescent="0.2">
      <c r="A171" s="716" t="str">
        <f>IF(ISBLANK('Non-personnel'!B88),"",'Non-personnel'!B88)</f>
        <v/>
      </c>
      <c r="B171" s="139" t="s">
        <v>37</v>
      </c>
      <c r="C171" s="141"/>
      <c r="D171" s="152">
        <f>SUM('Non-personnel'!H88,'Non-personnel'!I88)</f>
        <v>0</v>
      </c>
      <c r="E171" s="152">
        <f>SUM('Non-personnel'!J88,'Non-personnel'!K88)</f>
        <v>0</v>
      </c>
      <c r="F171" s="152">
        <f>SUM('Non-personnel'!L88,'Non-personnel'!M88)</f>
        <v>0</v>
      </c>
      <c r="G171" s="152">
        <f>SUM('Non-personnel'!N88,'Non-personnel'!O88)</f>
        <v>0</v>
      </c>
      <c r="H171" s="152">
        <f>SUM('Non-personnel'!P88,'Non-personnel'!Q88)</f>
        <v>0</v>
      </c>
      <c r="I171" s="155">
        <f t="shared" si="13"/>
        <v>0</v>
      </c>
    </row>
    <row r="172" spans="1:9" x14ac:dyDescent="0.2">
      <c r="A172" s="717"/>
      <c r="B172" s="139" t="s">
        <v>181</v>
      </c>
      <c r="C172" s="139"/>
      <c r="D172" s="152">
        <f>'Non-personnel'!H89</f>
        <v>0</v>
      </c>
      <c r="E172" s="152">
        <f>'Non-personnel'!J89</f>
        <v>0</v>
      </c>
      <c r="F172" s="152">
        <f>'Non-personnel'!L89</f>
        <v>0</v>
      </c>
      <c r="G172" s="152">
        <f>'Non-personnel'!N89</f>
        <v>0</v>
      </c>
      <c r="H172" s="152">
        <f>'Non-personnel'!P89</f>
        <v>0</v>
      </c>
      <c r="I172" s="153">
        <f t="shared" si="13"/>
        <v>0</v>
      </c>
    </row>
    <row r="173" spans="1:9" x14ac:dyDescent="0.2">
      <c r="A173" s="758" t="s">
        <v>37</v>
      </c>
      <c r="B173" s="713"/>
      <c r="C173" s="111"/>
      <c r="D173" s="156">
        <f t="shared" ref="D173:H174" si="14">SUM(D153,D155,D157,D159,D161,D163,D165,D167,D169,D171)</f>
        <v>0</v>
      </c>
      <c r="E173" s="156">
        <f t="shared" si="14"/>
        <v>0</v>
      </c>
      <c r="F173" s="156">
        <f t="shared" si="14"/>
        <v>0</v>
      </c>
      <c r="G173" s="156">
        <f t="shared" si="14"/>
        <v>0</v>
      </c>
      <c r="H173" s="156">
        <f t="shared" si="14"/>
        <v>0</v>
      </c>
      <c r="I173" s="157">
        <f t="shared" si="13"/>
        <v>0</v>
      </c>
    </row>
    <row r="174" spans="1:9" ht="13.5" thickBot="1" x14ac:dyDescent="0.25">
      <c r="A174" s="754" t="s">
        <v>182</v>
      </c>
      <c r="B174" s="708"/>
      <c r="C174" s="104"/>
      <c r="D174" s="158">
        <f t="shared" si="14"/>
        <v>0</v>
      </c>
      <c r="E174" s="158">
        <f t="shared" si="14"/>
        <v>0</v>
      </c>
      <c r="F174" s="158">
        <f t="shared" si="14"/>
        <v>0</v>
      </c>
      <c r="G174" s="158">
        <f t="shared" si="14"/>
        <v>0</v>
      </c>
      <c r="H174" s="158">
        <f t="shared" si="14"/>
        <v>0</v>
      </c>
      <c r="I174" s="159">
        <f t="shared" si="13"/>
        <v>0</v>
      </c>
    </row>
    <row r="175" spans="1:9" ht="13.5" thickTop="1" x14ac:dyDescent="0.2"/>
    <row r="176" spans="1:9" ht="15" x14ac:dyDescent="0.25">
      <c r="A176" s="710" t="s">
        <v>234</v>
      </c>
      <c r="B176" s="710"/>
      <c r="C176" s="710"/>
      <c r="D176" s="64"/>
      <c r="E176" s="64"/>
      <c r="F176" s="64"/>
      <c r="G176" s="64"/>
      <c r="H176" s="64"/>
      <c r="I176" s="64"/>
    </row>
    <row r="177" spans="1:9" x14ac:dyDescent="0.2">
      <c r="A177" s="695" t="str">
        <f>CONCATENATE('Personnel Yr 1'!B20, IF(OR(ISBLANK('Personnel Yr 1'!B20),'Personnel Yr 1'!B20=""),""," "),'Personnel Yr 1'!C20, " ",'Personnel Yr 1'!D20,IF(OR(ISBLANK('Personnel Yr 1'!D20),'Personnel Yr 1'!D20=""),""," "),'Personnel Yr 1'!E20," ",'Personnel Yr 1'!F20)</f>
        <v xml:space="preserve">  </v>
      </c>
      <c r="B177" s="695"/>
      <c r="C177" s="66" t="s">
        <v>119</v>
      </c>
      <c r="D177" s="82" t="s">
        <v>32</v>
      </c>
      <c r="E177" s="82" t="s">
        <v>33</v>
      </c>
      <c r="F177" s="82" t="s">
        <v>34</v>
      </c>
      <c r="G177" s="82" t="s">
        <v>35</v>
      </c>
      <c r="H177" s="82" t="s">
        <v>36</v>
      </c>
      <c r="I177" s="67" t="s">
        <v>37</v>
      </c>
    </row>
    <row r="178" spans="1:9" x14ac:dyDescent="0.2">
      <c r="A178" s="83" t="str">
        <f>IF(ISBLANK('Personnel Yr 1'!G20),"",'Personnel Yr 1'!G20)</f>
        <v/>
      </c>
      <c r="B178" s="84" t="s">
        <v>126</v>
      </c>
      <c r="C178" s="84"/>
      <c r="D178" s="85">
        <f>SUM('Personnel Yr 1'!L20)</f>
        <v>0</v>
      </c>
      <c r="E178" s="85">
        <f>SUM('Personnel Yr 2'!L20)</f>
        <v>0</v>
      </c>
      <c r="F178" s="85">
        <f>SUM('Personnel Yr 3'!L20)</f>
        <v>0</v>
      </c>
      <c r="G178" s="85">
        <f>SUM('Personnel Yr 4'!L20)</f>
        <v>0</v>
      </c>
      <c r="H178" s="85">
        <f>SUM('Personnel Yr 5'!L20)</f>
        <v>0</v>
      </c>
      <c r="I178" s="85">
        <f>SUM(D178:H178)</f>
        <v>0</v>
      </c>
    </row>
    <row r="179" spans="1:9" x14ac:dyDescent="0.2">
      <c r="A179" s="86"/>
      <c r="B179" s="173" t="s">
        <v>127</v>
      </c>
      <c r="C179" s="173"/>
      <c r="D179" s="174">
        <f>D178/3.5</f>
        <v>0</v>
      </c>
      <c r="E179" s="174">
        <f>E178/3.5</f>
        <v>0</v>
      </c>
      <c r="F179" s="174">
        <f>F178/3.5</f>
        <v>0</v>
      </c>
      <c r="G179" s="174">
        <f>G178/3.5</f>
        <v>0</v>
      </c>
      <c r="H179" s="174">
        <f>H178/3.5</f>
        <v>0</v>
      </c>
      <c r="I179" s="175"/>
    </row>
    <row r="180" spans="1:9" x14ac:dyDescent="0.2">
      <c r="A180" s="87"/>
      <c r="B180" s="88" t="s">
        <v>128</v>
      </c>
      <c r="C180" s="88"/>
      <c r="D180" s="85">
        <f>SUM('Personnel Yr 1'!K20)</f>
        <v>0</v>
      </c>
      <c r="E180" s="85">
        <f>SUM('Personnel Yr 2'!K20)</f>
        <v>0</v>
      </c>
      <c r="F180" s="85">
        <f>SUM('Personnel Yr 3'!K20)</f>
        <v>0</v>
      </c>
      <c r="G180" s="85">
        <f>SUM('Personnel Yr 4'!K20)</f>
        <v>0</v>
      </c>
      <c r="H180" s="85">
        <f>SUM('Personnel Yr 5'!K20)</f>
        <v>0</v>
      </c>
      <c r="I180" s="85">
        <f>SUM(D180:H180)</f>
        <v>0</v>
      </c>
    </row>
    <row r="181" spans="1:9" x14ac:dyDescent="0.2">
      <c r="A181" s="87"/>
      <c r="B181" s="176" t="s">
        <v>129</v>
      </c>
      <c r="C181" s="176"/>
      <c r="D181" s="177">
        <f>D180/8.5</f>
        <v>0</v>
      </c>
      <c r="E181" s="177">
        <f>E180/8.5</f>
        <v>0</v>
      </c>
      <c r="F181" s="177">
        <f>F180/8.5</f>
        <v>0</v>
      </c>
      <c r="G181" s="177">
        <f>G180/8.5</f>
        <v>0</v>
      </c>
      <c r="H181" s="177">
        <f>H180/8.5</f>
        <v>0</v>
      </c>
      <c r="I181" s="178"/>
    </row>
    <row r="182" spans="1:9" x14ac:dyDescent="0.2">
      <c r="A182" s="87"/>
      <c r="B182" s="88" t="s">
        <v>130</v>
      </c>
      <c r="C182" s="88"/>
      <c r="D182" s="85">
        <f>SUM('Personnel Yr 1'!J20)</f>
        <v>0</v>
      </c>
      <c r="E182" s="85">
        <f>SUM('Personnel Yr 2'!J20)</f>
        <v>0</v>
      </c>
      <c r="F182" s="85">
        <f>SUM('Personnel Yr 3'!J20)</f>
        <v>0</v>
      </c>
      <c r="G182" s="85">
        <f>SUM('Personnel Yr 4'!J20)</f>
        <v>0</v>
      </c>
      <c r="H182" s="85">
        <f>SUM('Personnel Yr 5'!J20)</f>
        <v>0</v>
      </c>
      <c r="I182" s="85">
        <f>SUM(D182:H182)</f>
        <v>0</v>
      </c>
    </row>
    <row r="183" spans="1:9" x14ac:dyDescent="0.2">
      <c r="A183" s="87"/>
      <c r="B183" s="176" t="s">
        <v>131</v>
      </c>
      <c r="C183" s="176"/>
      <c r="D183" s="177">
        <f>D182/12</f>
        <v>0</v>
      </c>
      <c r="E183" s="177">
        <f>E182/12</f>
        <v>0</v>
      </c>
      <c r="F183" s="177">
        <f>F182/12</f>
        <v>0</v>
      </c>
      <c r="G183" s="177">
        <f>G182/12</f>
        <v>0</v>
      </c>
      <c r="H183" s="177">
        <f>H182/12</f>
        <v>0</v>
      </c>
      <c r="I183" s="179"/>
    </row>
    <row r="184" spans="1:9" x14ac:dyDescent="0.2">
      <c r="A184" s="693" t="str">
        <f>CONCATENATE('Personnel Yr 1'!B21, IF(OR(ISBLANK('Personnel Yr 1'!B21),'Personnel Yr 1'!B21=""),""," "),'Personnel Yr 1'!C21, " ",'Personnel Yr 1'!D21,IF(OR(ISBLANK('Personnel Yr 1'!D21),'Personnel Yr 1'!D21=""),""," "),'Personnel Yr 1'!E21," ",'Personnel Yr 1'!F21)</f>
        <v xml:space="preserve">  </v>
      </c>
      <c r="B184" s="694"/>
      <c r="C184" s="90"/>
      <c r="D184" s="91"/>
      <c r="E184" s="91"/>
      <c r="F184" s="91"/>
      <c r="G184" s="91"/>
      <c r="H184" s="91"/>
      <c r="I184" s="89"/>
    </row>
    <row r="185" spans="1:9" x14ac:dyDescent="0.2">
      <c r="A185" s="83" t="str">
        <f>IF(ISBLANK('Personnel Yr 1'!G21),"",'Personnel Yr 1'!G21)</f>
        <v/>
      </c>
      <c r="B185" s="84" t="s">
        <v>126</v>
      </c>
      <c r="C185" s="84"/>
      <c r="D185" s="85">
        <f>SUM('Personnel Yr 1'!L21)</f>
        <v>0</v>
      </c>
      <c r="E185" s="85">
        <f>SUM('Personnel Yr 2'!L21)</f>
        <v>0</v>
      </c>
      <c r="F185" s="85">
        <f>SUM('Personnel Yr 3'!L21)</f>
        <v>0</v>
      </c>
      <c r="G185" s="85">
        <f>SUM('Personnel Yr 4'!L21)</f>
        <v>0</v>
      </c>
      <c r="H185" s="85">
        <f>SUM('Personnel Yr 5'!L21)</f>
        <v>0</v>
      </c>
      <c r="I185" s="85">
        <f>SUM(D185:H185)</f>
        <v>0</v>
      </c>
    </row>
    <row r="186" spans="1:9" x14ac:dyDescent="0.2">
      <c r="A186" s="86"/>
      <c r="B186" s="180" t="s">
        <v>127</v>
      </c>
      <c r="C186" s="180"/>
      <c r="D186" s="174">
        <f>D185/3.5</f>
        <v>0</v>
      </c>
      <c r="E186" s="174">
        <f>E185/3.5</f>
        <v>0</v>
      </c>
      <c r="F186" s="174">
        <f>F185/3.5</f>
        <v>0</v>
      </c>
      <c r="G186" s="174">
        <f>G185/3.5</f>
        <v>0</v>
      </c>
      <c r="H186" s="174">
        <f>H185/3.5</f>
        <v>0</v>
      </c>
      <c r="I186" s="178"/>
    </row>
    <row r="187" spans="1:9" x14ac:dyDescent="0.2">
      <c r="A187" s="87"/>
      <c r="B187" s="88" t="s">
        <v>128</v>
      </c>
      <c r="C187" s="88"/>
      <c r="D187" s="85">
        <f>SUM('Personnel Yr 1'!K21)</f>
        <v>0</v>
      </c>
      <c r="E187" s="85">
        <f>SUM('Personnel Yr 2'!K21)</f>
        <v>0</v>
      </c>
      <c r="F187" s="85">
        <f>SUM('Personnel Yr 3'!K21)</f>
        <v>0</v>
      </c>
      <c r="G187" s="85">
        <f>SUM('Personnel Yr 4'!K21)</f>
        <v>0</v>
      </c>
      <c r="H187" s="85">
        <f>SUM('Personnel Yr 5'!K21)</f>
        <v>0</v>
      </c>
      <c r="I187" s="85">
        <f>SUM(D187:H187)</f>
        <v>0</v>
      </c>
    </row>
    <row r="188" spans="1:9" x14ac:dyDescent="0.2">
      <c r="A188" s="87"/>
      <c r="B188" s="176" t="s">
        <v>129</v>
      </c>
      <c r="C188" s="176"/>
      <c r="D188" s="177">
        <f>D187/8.5</f>
        <v>0</v>
      </c>
      <c r="E188" s="177">
        <f>E187/8.5</f>
        <v>0</v>
      </c>
      <c r="F188" s="177">
        <f>F187/8.5</f>
        <v>0</v>
      </c>
      <c r="G188" s="177">
        <f>G187/8.5</f>
        <v>0</v>
      </c>
      <c r="H188" s="177">
        <f>H187/8.5</f>
        <v>0</v>
      </c>
      <c r="I188" s="178"/>
    </row>
    <row r="189" spans="1:9" x14ac:dyDescent="0.2">
      <c r="A189" s="87"/>
      <c r="B189" s="88" t="s">
        <v>130</v>
      </c>
      <c r="C189" s="88"/>
      <c r="D189" s="85">
        <f>SUM('Personnel Yr 1'!J21)</f>
        <v>0</v>
      </c>
      <c r="E189" s="85">
        <f>SUM('Personnel Yr 2'!J21)</f>
        <v>0</v>
      </c>
      <c r="F189" s="85">
        <f>SUM('Personnel Yr 3'!J21)</f>
        <v>0</v>
      </c>
      <c r="G189" s="85">
        <f>SUM('Personnel Yr 4'!J21)</f>
        <v>0</v>
      </c>
      <c r="H189" s="85">
        <f>SUM('Personnel Yr 5'!J21)</f>
        <v>0</v>
      </c>
      <c r="I189" s="85">
        <f>SUM(D189:H189)</f>
        <v>0</v>
      </c>
    </row>
    <row r="190" spans="1:9" x14ac:dyDescent="0.2">
      <c r="A190" s="87"/>
      <c r="B190" s="176" t="s">
        <v>131</v>
      </c>
      <c r="C190" s="176"/>
      <c r="D190" s="177">
        <f>D189/12</f>
        <v>0</v>
      </c>
      <c r="E190" s="177">
        <f>E189/12</f>
        <v>0</v>
      </c>
      <c r="F190" s="177">
        <f>F189/12</f>
        <v>0</v>
      </c>
      <c r="G190" s="177">
        <f>G189/12</f>
        <v>0</v>
      </c>
      <c r="H190" s="177">
        <f>H189/12</f>
        <v>0</v>
      </c>
      <c r="I190" s="179"/>
    </row>
    <row r="191" spans="1:9" x14ac:dyDescent="0.2">
      <c r="A191" s="693" t="str">
        <f>CONCATENATE('Personnel Yr 1'!B22, IF(OR(ISBLANK('Personnel Yr 1'!B22),'Personnel Yr 1'!B22=""),""," "),'Personnel Yr 1'!C22, " ",'Personnel Yr 1'!D22,IF(OR(ISBLANK('Personnel Yr 1'!D22),'Personnel Yr 1'!D22=""),""," "),'Personnel Yr 1'!E22," ",'Personnel Yr 1'!F22)</f>
        <v xml:space="preserve">  </v>
      </c>
      <c r="B191" s="694"/>
      <c r="C191" s="90"/>
      <c r="D191" s="91"/>
      <c r="E191" s="91"/>
      <c r="F191" s="91"/>
      <c r="G191" s="91"/>
      <c r="H191" s="91"/>
      <c r="I191" s="89"/>
    </row>
    <row r="192" spans="1:9" x14ac:dyDescent="0.2">
      <c r="A192" s="86" t="str">
        <f>IF(ISBLANK('Personnel Yr 1'!G22),"",'Personnel Yr 1'!G22)</f>
        <v/>
      </c>
      <c r="B192" s="84" t="s">
        <v>126</v>
      </c>
      <c r="C192" s="84"/>
      <c r="D192" s="85">
        <f>SUM('Personnel Yr 1'!L22)</f>
        <v>0</v>
      </c>
      <c r="E192" s="85">
        <f>SUM('Personnel Yr 2'!L22)</f>
        <v>0</v>
      </c>
      <c r="F192" s="85">
        <f>SUM('Personnel Yr 3'!L22)</f>
        <v>0</v>
      </c>
      <c r="G192" s="85">
        <f>SUM('Personnel Yr 4'!L22)</f>
        <v>0</v>
      </c>
      <c r="H192" s="85">
        <f>SUM('Personnel Yr 5'!L22)</f>
        <v>0</v>
      </c>
      <c r="I192" s="85">
        <f>SUM(D192:H192)</f>
        <v>0</v>
      </c>
    </row>
    <row r="193" spans="1:9" x14ac:dyDescent="0.2">
      <c r="A193" s="86"/>
      <c r="B193" s="180" t="s">
        <v>127</v>
      </c>
      <c r="C193" s="180"/>
      <c r="D193" s="174">
        <f>D192/3.5</f>
        <v>0</v>
      </c>
      <c r="E193" s="174">
        <f>E192/3.5</f>
        <v>0</v>
      </c>
      <c r="F193" s="174">
        <f>F192/3.5</f>
        <v>0</v>
      </c>
      <c r="G193" s="174">
        <f>G192/3.5</f>
        <v>0</v>
      </c>
      <c r="H193" s="174">
        <f>H192/3.5</f>
        <v>0</v>
      </c>
      <c r="I193" s="178"/>
    </row>
    <row r="194" spans="1:9" x14ac:dyDescent="0.2">
      <c r="A194" s="87"/>
      <c r="B194" s="88" t="s">
        <v>128</v>
      </c>
      <c r="C194" s="88"/>
      <c r="D194" s="85">
        <f>SUM('Personnel Yr 1'!K22)</f>
        <v>0</v>
      </c>
      <c r="E194" s="85">
        <f>SUM('Personnel Yr 2'!K22)</f>
        <v>0</v>
      </c>
      <c r="F194" s="85">
        <f>SUM('Personnel Yr 3'!K22)</f>
        <v>0</v>
      </c>
      <c r="G194" s="85">
        <f>SUM('Personnel Yr 4'!K22)</f>
        <v>0</v>
      </c>
      <c r="H194" s="85">
        <f>SUM('Personnel Yr 5'!K22)</f>
        <v>0</v>
      </c>
      <c r="I194" s="85">
        <f>SUM(D194:H194)</f>
        <v>0</v>
      </c>
    </row>
    <row r="195" spans="1:9" x14ac:dyDescent="0.2">
      <c r="A195" s="87"/>
      <c r="B195" s="176" t="s">
        <v>129</v>
      </c>
      <c r="C195" s="176"/>
      <c r="D195" s="177">
        <f>D194/8.5</f>
        <v>0</v>
      </c>
      <c r="E195" s="177">
        <f>E194/8.5</f>
        <v>0</v>
      </c>
      <c r="F195" s="177">
        <f>F194/8.5</f>
        <v>0</v>
      </c>
      <c r="G195" s="177">
        <f>G194/8.5</f>
        <v>0</v>
      </c>
      <c r="H195" s="177">
        <f>H194/8.5</f>
        <v>0</v>
      </c>
      <c r="I195" s="178"/>
    </row>
    <row r="196" spans="1:9" x14ac:dyDescent="0.2">
      <c r="A196" s="87"/>
      <c r="B196" s="88" t="s">
        <v>130</v>
      </c>
      <c r="C196" s="88"/>
      <c r="D196" s="85">
        <f>SUM('Personnel Yr 1'!J22)</f>
        <v>0</v>
      </c>
      <c r="E196" s="85">
        <f>SUM('Personnel Yr 2'!J22)</f>
        <v>0</v>
      </c>
      <c r="F196" s="85">
        <f>SUM('Personnel Yr 3'!J22)</f>
        <v>0</v>
      </c>
      <c r="G196" s="85">
        <f>SUM('Personnel Yr 4'!J22)</f>
        <v>0</v>
      </c>
      <c r="H196" s="85">
        <f>SUM('Personnel Yr 5'!J22)</f>
        <v>0</v>
      </c>
      <c r="I196" s="85">
        <f>SUM(D196:H196)</f>
        <v>0</v>
      </c>
    </row>
    <row r="197" spans="1:9" x14ac:dyDescent="0.2">
      <c r="A197" s="87"/>
      <c r="B197" s="176" t="s">
        <v>131</v>
      </c>
      <c r="C197" s="176"/>
      <c r="D197" s="177">
        <f>D196/12</f>
        <v>0</v>
      </c>
      <c r="E197" s="177">
        <f>E196/12</f>
        <v>0</v>
      </c>
      <c r="F197" s="177">
        <f>F196/12</f>
        <v>0</v>
      </c>
      <c r="G197" s="177">
        <f>G196/12</f>
        <v>0</v>
      </c>
      <c r="H197" s="177">
        <f>H196/12</f>
        <v>0</v>
      </c>
      <c r="I197" s="179"/>
    </row>
    <row r="198" spans="1:9" x14ac:dyDescent="0.2">
      <c r="A198" s="693" t="str">
        <f>CONCATENATE('Personnel Yr 1'!B23, IF(OR(ISBLANK('Personnel Yr 1'!B23),'Personnel Yr 1'!B23=""),""," "),'Personnel Yr 1'!C23, " ",'Personnel Yr 1'!D23,IF(OR(ISBLANK('Personnel Yr 1'!D23),'Personnel Yr 1'!D23=""),""," "),'Personnel Yr 1'!E23," ",'Personnel Yr 1'!F23)</f>
        <v xml:space="preserve">  </v>
      </c>
      <c r="B198" s="694"/>
      <c r="C198" s="90"/>
      <c r="D198" s="91"/>
      <c r="E198" s="91"/>
      <c r="F198" s="91"/>
      <c r="G198" s="91"/>
      <c r="H198" s="91"/>
      <c r="I198" s="89"/>
    </row>
    <row r="199" spans="1:9" x14ac:dyDescent="0.2">
      <c r="A199" s="86" t="str">
        <f>IF(ISBLANK('Personnel Yr 1'!G23),"",'Personnel Yr 1'!G23)</f>
        <v/>
      </c>
      <c r="B199" s="84" t="s">
        <v>126</v>
      </c>
      <c r="C199" s="84"/>
      <c r="D199" s="85">
        <f>SUM('Personnel Yr 1'!L23)</f>
        <v>0</v>
      </c>
      <c r="E199" s="85">
        <f>SUM('Personnel Yr 2'!L23)</f>
        <v>0</v>
      </c>
      <c r="F199" s="85">
        <f>SUM('Personnel Yr 3'!L23)</f>
        <v>0</v>
      </c>
      <c r="G199" s="85">
        <f>SUM('Personnel Yr 4'!L23)</f>
        <v>0</v>
      </c>
      <c r="H199" s="85">
        <f>SUM('Personnel Yr 5'!L23)</f>
        <v>0</v>
      </c>
      <c r="I199" s="85">
        <f>SUM(D199:H199)</f>
        <v>0</v>
      </c>
    </row>
    <row r="200" spans="1:9" x14ac:dyDescent="0.2">
      <c r="A200" s="86"/>
      <c r="B200" s="180" t="s">
        <v>127</v>
      </c>
      <c r="C200" s="180"/>
      <c r="D200" s="174">
        <f>D199/3.5</f>
        <v>0</v>
      </c>
      <c r="E200" s="174">
        <f>E199/3.5</f>
        <v>0</v>
      </c>
      <c r="F200" s="174">
        <f>F199/3.5</f>
        <v>0</v>
      </c>
      <c r="G200" s="174">
        <f>G199/3.5</f>
        <v>0</v>
      </c>
      <c r="H200" s="174">
        <f>H199/3.5</f>
        <v>0</v>
      </c>
      <c r="I200" s="178"/>
    </row>
    <row r="201" spans="1:9" x14ac:dyDescent="0.2">
      <c r="A201" s="87"/>
      <c r="B201" s="88" t="s">
        <v>128</v>
      </c>
      <c r="C201" s="88"/>
      <c r="D201" s="85">
        <f>SUM('Personnel Yr 1'!K23)</f>
        <v>0</v>
      </c>
      <c r="E201" s="85">
        <f>SUM('Personnel Yr 2'!K23)</f>
        <v>0</v>
      </c>
      <c r="F201" s="85">
        <f>SUM('Personnel Yr 3'!K23)</f>
        <v>0</v>
      </c>
      <c r="G201" s="85">
        <f>SUM('Personnel Yr 4'!K23)</f>
        <v>0</v>
      </c>
      <c r="H201" s="85">
        <f>SUM('Personnel Yr 5'!K23)</f>
        <v>0</v>
      </c>
      <c r="I201" s="85">
        <f>SUM(D201:H201)</f>
        <v>0</v>
      </c>
    </row>
    <row r="202" spans="1:9" x14ac:dyDescent="0.2">
      <c r="A202" s="87"/>
      <c r="B202" s="176" t="s">
        <v>129</v>
      </c>
      <c r="C202" s="176"/>
      <c r="D202" s="177">
        <f>D201/8.5</f>
        <v>0</v>
      </c>
      <c r="E202" s="177">
        <f>E201/8.5</f>
        <v>0</v>
      </c>
      <c r="F202" s="177">
        <f>F201/8.5</f>
        <v>0</v>
      </c>
      <c r="G202" s="177">
        <f>G201/8.5</f>
        <v>0</v>
      </c>
      <c r="H202" s="177">
        <f>H201/8.5</f>
        <v>0</v>
      </c>
      <c r="I202" s="178"/>
    </row>
    <row r="203" spans="1:9" x14ac:dyDescent="0.2">
      <c r="A203" s="87"/>
      <c r="B203" s="88" t="s">
        <v>130</v>
      </c>
      <c r="C203" s="88"/>
      <c r="D203" s="85">
        <f>SUM('Personnel Yr 1'!J23)</f>
        <v>0</v>
      </c>
      <c r="E203" s="85">
        <f>SUM('Personnel Yr 2'!J23)</f>
        <v>0</v>
      </c>
      <c r="F203" s="85">
        <f>SUM('Personnel Yr 3'!J23)</f>
        <v>0</v>
      </c>
      <c r="G203" s="85">
        <f>SUM('Personnel Yr 4'!J23)</f>
        <v>0</v>
      </c>
      <c r="H203" s="85">
        <f>SUM('Personnel Yr 5'!J23)</f>
        <v>0</v>
      </c>
      <c r="I203" s="85">
        <f>SUM(D203:H203)</f>
        <v>0</v>
      </c>
    </row>
    <row r="204" spans="1:9" x14ac:dyDescent="0.2">
      <c r="A204" s="87"/>
      <c r="B204" s="176" t="s">
        <v>131</v>
      </c>
      <c r="C204" s="176"/>
      <c r="D204" s="177">
        <f>D203/12</f>
        <v>0</v>
      </c>
      <c r="E204" s="177">
        <f>E203/12</f>
        <v>0</v>
      </c>
      <c r="F204" s="177">
        <f>F203/12</f>
        <v>0</v>
      </c>
      <c r="G204" s="177">
        <f>G203/12</f>
        <v>0</v>
      </c>
      <c r="H204" s="177">
        <f>H203/12</f>
        <v>0</v>
      </c>
      <c r="I204" s="179"/>
    </row>
    <row r="205" spans="1:9" x14ac:dyDescent="0.2">
      <c r="A205" s="693" t="str">
        <f>CONCATENATE('Personnel Yr 1'!B24, IF(OR(ISBLANK('Personnel Yr 1'!B24),'Personnel Yr 1'!B24=""),""," "),'Personnel Yr 1'!C24, " ",'Personnel Yr 1'!D24,IF(OR(ISBLANK('Personnel Yr 1'!D24),'Personnel Yr 1'!D24=""),""," "),'Personnel Yr 1'!E24," ",'Personnel Yr 1'!F24)</f>
        <v xml:space="preserve">  </v>
      </c>
      <c r="B205" s="694"/>
      <c r="C205" s="90"/>
      <c r="D205" s="91"/>
      <c r="E205" s="91"/>
      <c r="F205" s="91"/>
      <c r="G205" s="91"/>
      <c r="H205" s="91"/>
      <c r="I205" s="89"/>
    </row>
    <row r="206" spans="1:9" x14ac:dyDescent="0.2">
      <c r="A206" s="86" t="str">
        <f>IF(ISBLANK('Personnel Yr 1'!G24),"",'Personnel Yr 1'!G24)</f>
        <v/>
      </c>
      <c r="B206" s="84" t="s">
        <v>126</v>
      </c>
      <c r="C206" s="84"/>
      <c r="D206" s="85">
        <f>SUM('Personnel Yr 1'!L24)</f>
        <v>0</v>
      </c>
      <c r="E206" s="85">
        <f>SUM('Personnel Yr 2'!L24)</f>
        <v>0</v>
      </c>
      <c r="F206" s="85">
        <f>SUM('Personnel Yr 3'!L24)</f>
        <v>0</v>
      </c>
      <c r="G206" s="85">
        <f>SUM('Personnel Yr 4'!L24)</f>
        <v>0</v>
      </c>
      <c r="H206" s="85">
        <f>SUM('Personnel Yr 5'!L24)</f>
        <v>0</v>
      </c>
      <c r="I206" s="85">
        <f>SUM(D206:H206)</f>
        <v>0</v>
      </c>
    </row>
    <row r="207" spans="1:9" x14ac:dyDescent="0.2">
      <c r="A207" s="86"/>
      <c r="B207" s="180" t="s">
        <v>127</v>
      </c>
      <c r="C207" s="180"/>
      <c r="D207" s="174">
        <f>D206/3.5</f>
        <v>0</v>
      </c>
      <c r="E207" s="174">
        <f>E206/3.5</f>
        <v>0</v>
      </c>
      <c r="F207" s="174">
        <f>F206/3.5</f>
        <v>0</v>
      </c>
      <c r="G207" s="174">
        <f>G206/3.5</f>
        <v>0</v>
      </c>
      <c r="H207" s="174">
        <f>H206/3.5</f>
        <v>0</v>
      </c>
      <c r="I207" s="178"/>
    </row>
    <row r="208" spans="1:9" x14ac:dyDescent="0.2">
      <c r="A208" s="87"/>
      <c r="B208" s="88" t="s">
        <v>128</v>
      </c>
      <c r="C208" s="88"/>
      <c r="D208" s="85">
        <f>SUM('Personnel Yr 1'!K24)</f>
        <v>0</v>
      </c>
      <c r="E208" s="85">
        <f>SUM('Personnel Yr 2'!K24)</f>
        <v>0</v>
      </c>
      <c r="F208" s="85">
        <f>SUM('Personnel Yr 3'!K24)</f>
        <v>0</v>
      </c>
      <c r="G208" s="85">
        <f>SUM('Personnel Yr 4'!K24)</f>
        <v>0</v>
      </c>
      <c r="H208" s="85">
        <f>SUM('Personnel Yr 5'!K24)</f>
        <v>0</v>
      </c>
      <c r="I208" s="85">
        <f>SUM(D208:H208)</f>
        <v>0</v>
      </c>
    </row>
    <row r="209" spans="1:9" x14ac:dyDescent="0.2">
      <c r="A209" s="87"/>
      <c r="B209" s="176" t="s">
        <v>129</v>
      </c>
      <c r="C209" s="176"/>
      <c r="D209" s="177">
        <f>D208/8.5</f>
        <v>0</v>
      </c>
      <c r="E209" s="177">
        <f>E208/8.5</f>
        <v>0</v>
      </c>
      <c r="F209" s="177">
        <f>F208/8.5</f>
        <v>0</v>
      </c>
      <c r="G209" s="177">
        <f>G208/8.5</f>
        <v>0</v>
      </c>
      <c r="H209" s="177">
        <f>H208/8.5</f>
        <v>0</v>
      </c>
      <c r="I209" s="178"/>
    </row>
    <row r="210" spans="1:9" x14ac:dyDescent="0.2">
      <c r="A210" s="87"/>
      <c r="B210" s="88" t="s">
        <v>130</v>
      </c>
      <c r="C210" s="88"/>
      <c r="D210" s="85">
        <f>SUM('Personnel Yr 1'!J24)</f>
        <v>0</v>
      </c>
      <c r="E210" s="85">
        <f>SUM('Personnel Yr 2'!J24)</f>
        <v>0</v>
      </c>
      <c r="F210" s="85">
        <f>SUM('Personnel Yr 3'!J24)</f>
        <v>0</v>
      </c>
      <c r="G210" s="85">
        <f>SUM('Personnel Yr 4'!J24)</f>
        <v>0</v>
      </c>
      <c r="H210" s="85">
        <f>SUM('Personnel Yr 5'!J24)</f>
        <v>0</v>
      </c>
      <c r="I210" s="85">
        <f>SUM(D210:H210)</f>
        <v>0</v>
      </c>
    </row>
    <row r="211" spans="1:9" x14ac:dyDescent="0.2">
      <c r="A211" s="146"/>
      <c r="B211" s="176" t="s">
        <v>131</v>
      </c>
      <c r="C211" s="176"/>
      <c r="D211" s="177">
        <f>D210/12</f>
        <v>0</v>
      </c>
      <c r="E211" s="177">
        <f>E210/12</f>
        <v>0</v>
      </c>
      <c r="F211" s="177">
        <f>F210/12</f>
        <v>0</v>
      </c>
      <c r="G211" s="177">
        <f>G210/12</f>
        <v>0</v>
      </c>
      <c r="H211" s="177">
        <f>H210/12</f>
        <v>0</v>
      </c>
      <c r="I211" s="179"/>
    </row>
    <row r="212" spans="1:9" x14ac:dyDescent="0.2">
      <c r="A212" s="696" t="str">
        <f>CONCATENATE('Personnel Yr 1'!B25, IF(OR(ISBLANK('Personnel Yr 1'!B25),'Personnel Yr 1'!B25=""),""," "),'Personnel Yr 1'!C25, " ",'Personnel Yr 1'!D25,IF(OR(ISBLANK('Personnel Yr 1'!D25),'Personnel Yr 1'!D25=""),""," "),'Personnel Yr 1'!E25," ",'Personnel Yr 1'!F25)</f>
        <v xml:space="preserve">  </v>
      </c>
      <c r="B212" s="695"/>
      <c r="C212" s="90"/>
      <c r="D212" s="91"/>
      <c r="E212" s="91"/>
      <c r="F212" s="91"/>
      <c r="G212" s="91"/>
      <c r="H212" s="91"/>
      <c r="I212" s="89"/>
    </row>
    <row r="213" spans="1:9" x14ac:dyDescent="0.2">
      <c r="A213" s="83" t="str">
        <f>IF(ISBLANK('Personnel Yr 1'!G25),"",'Personnel Yr 1'!G25)</f>
        <v/>
      </c>
      <c r="B213" s="84" t="s">
        <v>126</v>
      </c>
      <c r="C213" s="84"/>
      <c r="D213" s="85">
        <f>SUM('Personnel Yr 1'!L25)</f>
        <v>0</v>
      </c>
      <c r="E213" s="85">
        <f>SUM('Personnel Yr 2'!L25)</f>
        <v>0</v>
      </c>
      <c r="F213" s="85">
        <f>SUM('Personnel Yr 3'!L25)</f>
        <v>0</v>
      </c>
      <c r="G213" s="85">
        <f>SUM('Personnel Yr 4'!L25)</f>
        <v>0</v>
      </c>
      <c r="H213" s="85">
        <f>SUM('Personnel Yr 4'!L25)</f>
        <v>0</v>
      </c>
      <c r="I213" s="85">
        <f>SUM(D213:H213)</f>
        <v>0</v>
      </c>
    </row>
    <row r="214" spans="1:9" x14ac:dyDescent="0.2">
      <c r="A214" s="86"/>
      <c r="B214" s="180" t="s">
        <v>127</v>
      </c>
      <c r="C214" s="180"/>
      <c r="D214" s="174">
        <f>D213/3.5</f>
        <v>0</v>
      </c>
      <c r="E214" s="174">
        <f>E213/3.5</f>
        <v>0</v>
      </c>
      <c r="F214" s="174">
        <f>F213/3.5</f>
        <v>0</v>
      </c>
      <c r="G214" s="174">
        <f>G213/3.5</f>
        <v>0</v>
      </c>
      <c r="H214" s="174">
        <f>H213/3.5</f>
        <v>0</v>
      </c>
      <c r="I214" s="178"/>
    </row>
    <row r="215" spans="1:9" x14ac:dyDescent="0.2">
      <c r="A215" s="87"/>
      <c r="B215" s="88" t="s">
        <v>128</v>
      </c>
      <c r="C215" s="88"/>
      <c r="D215" s="85">
        <f>SUM('Personnel Yr 1'!K25)</f>
        <v>0</v>
      </c>
      <c r="E215" s="85">
        <f>SUM('Personnel Yr 2'!K25)</f>
        <v>0</v>
      </c>
      <c r="F215" s="85">
        <f>SUM('Personnel Yr 3'!K25)</f>
        <v>0</v>
      </c>
      <c r="G215" s="85">
        <f>SUM('Personnel Yr 4'!K25)</f>
        <v>0</v>
      </c>
      <c r="H215" s="85">
        <f>SUM('Personnel Yr 5'!K25)</f>
        <v>0</v>
      </c>
      <c r="I215" s="85">
        <f>SUM(D215:H215)</f>
        <v>0</v>
      </c>
    </row>
    <row r="216" spans="1:9" x14ac:dyDescent="0.2">
      <c r="A216" s="87"/>
      <c r="B216" s="176" t="s">
        <v>129</v>
      </c>
      <c r="C216" s="176"/>
      <c r="D216" s="177">
        <f>D215/8.5</f>
        <v>0</v>
      </c>
      <c r="E216" s="177">
        <f>E215/8.5</f>
        <v>0</v>
      </c>
      <c r="F216" s="177">
        <f>F215/8.5</f>
        <v>0</v>
      </c>
      <c r="G216" s="177">
        <f>G215/8.5</f>
        <v>0</v>
      </c>
      <c r="H216" s="177">
        <f>H215/8.5</f>
        <v>0</v>
      </c>
      <c r="I216" s="178"/>
    </row>
    <row r="217" spans="1:9" x14ac:dyDescent="0.2">
      <c r="A217" s="87"/>
      <c r="B217" s="88" t="s">
        <v>130</v>
      </c>
      <c r="C217" s="88"/>
      <c r="D217" s="85">
        <f>SUM('Personnel Yr 1'!J25)</f>
        <v>0</v>
      </c>
      <c r="E217" s="85">
        <f>SUM('Personnel Yr 2'!J25)</f>
        <v>0</v>
      </c>
      <c r="F217" s="85">
        <f>SUM('Personnel Yr 3'!J25)</f>
        <v>0</v>
      </c>
      <c r="G217" s="85">
        <f>SUM('Personnel Yr 4'!J25)</f>
        <v>0</v>
      </c>
      <c r="H217" s="85">
        <f>SUM('Personnel Yr 5'!J25)</f>
        <v>0</v>
      </c>
      <c r="I217" s="85">
        <f>SUM(D217:H217)</f>
        <v>0</v>
      </c>
    </row>
    <row r="218" spans="1:9" x14ac:dyDescent="0.2">
      <c r="A218" s="146"/>
      <c r="B218" s="176" t="s">
        <v>131</v>
      </c>
      <c r="C218" s="176"/>
      <c r="D218" s="177">
        <f>D217/12</f>
        <v>0</v>
      </c>
      <c r="E218" s="177">
        <f>E217/12</f>
        <v>0</v>
      </c>
      <c r="F218" s="177">
        <f>F217/12</f>
        <v>0</v>
      </c>
      <c r="G218" s="177">
        <f>G217/12</f>
        <v>0</v>
      </c>
      <c r="H218" s="177">
        <f>H217/12</f>
        <v>0</v>
      </c>
      <c r="I218" s="181"/>
    </row>
    <row r="219" spans="1:9" x14ac:dyDescent="0.2">
      <c r="A219" s="696" t="str">
        <f>CONCATENATE('Personnel Yr 1'!B26, IF(OR(ISBLANK('Personnel Yr 1'!B26),'Personnel Yr 1'!B26=""),""," "),'Personnel Yr 1'!C26, " ",'Personnel Yr 1'!D26,IF(OR(ISBLANK('Personnel Yr 1'!D26),'Personnel Yr 1'!D26=""),""," "),'Personnel Yr 1'!E26," ",'Personnel Yr 1'!F26)</f>
        <v xml:space="preserve">  </v>
      </c>
      <c r="B219" s="695"/>
      <c r="C219" s="90"/>
      <c r="D219" s="93"/>
      <c r="E219" s="93"/>
      <c r="F219" s="93"/>
      <c r="G219" s="93"/>
      <c r="H219" s="145"/>
      <c r="I219" s="144"/>
    </row>
    <row r="220" spans="1:9" x14ac:dyDescent="0.2">
      <c r="A220" s="83" t="str">
        <f>IF(ISBLANK('Personnel Yr 1'!G26),"",'Personnel Yr 1'!G26)</f>
        <v/>
      </c>
      <c r="B220" s="84" t="s">
        <v>126</v>
      </c>
      <c r="C220" s="84"/>
      <c r="D220" s="85">
        <f>SUM('Personnel Yr 1'!L26)</f>
        <v>0</v>
      </c>
      <c r="E220" s="85">
        <f>SUM('Personnel Yr 2'!L26)</f>
        <v>0</v>
      </c>
      <c r="F220" s="85">
        <f>SUM('Personnel Yr 3'!L26)</f>
        <v>0</v>
      </c>
      <c r="G220" s="85">
        <f>SUM('Personnel Yr 4'!L26)</f>
        <v>0</v>
      </c>
      <c r="H220" s="85">
        <f>SUM('Personnel Yr 5'!L26)</f>
        <v>0</v>
      </c>
      <c r="I220" s="85">
        <f>SUM(D220:H220)</f>
        <v>0</v>
      </c>
    </row>
    <row r="221" spans="1:9" x14ac:dyDescent="0.2">
      <c r="A221" s="86"/>
      <c r="B221" s="180" t="s">
        <v>127</v>
      </c>
      <c r="C221" s="180"/>
      <c r="D221" s="174">
        <f>D220/3.5</f>
        <v>0</v>
      </c>
      <c r="E221" s="174">
        <f>E220/3.5</f>
        <v>0</v>
      </c>
      <c r="F221" s="174">
        <f>F220/3.5</f>
        <v>0</v>
      </c>
      <c r="G221" s="174">
        <f>G220/3.5</f>
        <v>0</v>
      </c>
      <c r="H221" s="174">
        <f>H220/3.5</f>
        <v>0</v>
      </c>
      <c r="I221" s="178"/>
    </row>
    <row r="222" spans="1:9" x14ac:dyDescent="0.2">
      <c r="A222" s="87"/>
      <c r="B222" s="88" t="s">
        <v>128</v>
      </c>
      <c r="C222" s="88"/>
      <c r="D222" s="85">
        <f>SUM('Personnel Yr 1'!K26)</f>
        <v>0</v>
      </c>
      <c r="E222" s="85">
        <f>SUM('Personnel Yr 2'!K26)</f>
        <v>0</v>
      </c>
      <c r="F222" s="85">
        <f>SUM('Personnel Yr 3'!K26)</f>
        <v>0</v>
      </c>
      <c r="G222" s="85">
        <f>SUM('Personnel Yr 4'!K26)</f>
        <v>0</v>
      </c>
      <c r="H222" s="85">
        <f>SUM('Personnel Yr 5'!K26)</f>
        <v>0</v>
      </c>
      <c r="I222" s="85">
        <f>SUM(D222:H222)</f>
        <v>0</v>
      </c>
    </row>
    <row r="223" spans="1:9" x14ac:dyDescent="0.2">
      <c r="A223" s="87"/>
      <c r="B223" s="176" t="s">
        <v>129</v>
      </c>
      <c r="C223" s="176"/>
      <c r="D223" s="177">
        <f>D222/8.5</f>
        <v>0</v>
      </c>
      <c r="E223" s="177">
        <f>E222/8.5</f>
        <v>0</v>
      </c>
      <c r="F223" s="177">
        <f>F222/8.5</f>
        <v>0</v>
      </c>
      <c r="G223" s="177">
        <f>G222/8.5</f>
        <v>0</v>
      </c>
      <c r="H223" s="177">
        <f>H222/8.5</f>
        <v>0</v>
      </c>
      <c r="I223" s="178"/>
    </row>
    <row r="224" spans="1:9" x14ac:dyDescent="0.2">
      <c r="A224" s="87"/>
      <c r="B224" s="88" t="s">
        <v>130</v>
      </c>
      <c r="C224" s="88"/>
      <c r="D224" s="85">
        <f>SUM('Personnel Yr 1'!J26)</f>
        <v>0</v>
      </c>
      <c r="E224" s="85">
        <f>SUM('Personnel Yr 2'!J26)</f>
        <v>0</v>
      </c>
      <c r="F224" s="85">
        <f>SUM('Personnel Yr 3'!J26)</f>
        <v>0</v>
      </c>
      <c r="G224" s="85">
        <f>SUM('Personnel Yr 4'!J26)</f>
        <v>0</v>
      </c>
      <c r="H224" s="85">
        <f>SUM('Personnel Yr 5'!J26)</f>
        <v>0</v>
      </c>
      <c r="I224" s="85">
        <f>SUM(D224:H224)</f>
        <v>0</v>
      </c>
    </row>
    <row r="225" spans="1:9" x14ac:dyDescent="0.2">
      <c r="A225" s="146"/>
      <c r="B225" s="176" t="s">
        <v>131</v>
      </c>
      <c r="C225" s="176"/>
      <c r="D225" s="177">
        <f>D224/12</f>
        <v>0</v>
      </c>
      <c r="E225" s="177">
        <f>E224/12</f>
        <v>0</v>
      </c>
      <c r="F225" s="177">
        <f>F224/12</f>
        <v>0</v>
      </c>
      <c r="G225" s="177">
        <f>G224/12</f>
        <v>0</v>
      </c>
      <c r="H225" s="177">
        <f>H224/12</f>
        <v>0</v>
      </c>
      <c r="I225" s="179"/>
    </row>
    <row r="226" spans="1:9" x14ac:dyDescent="0.2">
      <c r="A226" s="696" t="str">
        <f>CONCATENATE('Personnel Yr 1'!B27, IF(OR(ISBLANK('Personnel Yr 1'!B27),'Personnel Yr 1'!B27=""),""," "),'Personnel Yr 1'!C27, " ",'Personnel Yr 1'!D27,IF(OR(ISBLANK('Personnel Yr 1'!D27),'Personnel Yr 1'!D27=""),""," "),'Personnel Yr 1'!E27," ",'Personnel Yr 1'!F27)</f>
        <v xml:space="preserve">  </v>
      </c>
      <c r="B226" s="695"/>
      <c r="C226" s="90"/>
      <c r="D226" s="91"/>
      <c r="E226" s="91"/>
      <c r="F226" s="91"/>
      <c r="G226" s="91"/>
      <c r="H226" s="91"/>
      <c r="I226" s="89"/>
    </row>
    <row r="227" spans="1:9" x14ac:dyDescent="0.2">
      <c r="A227" s="83" t="str">
        <f>IF(ISBLANK('Personnel Yr 1'!G27),"",'Personnel Yr 1'!G27)</f>
        <v/>
      </c>
      <c r="B227" s="84" t="s">
        <v>126</v>
      </c>
      <c r="C227" s="84"/>
      <c r="D227" s="85">
        <f>SUM('Personnel Yr 1'!L27)</f>
        <v>0</v>
      </c>
      <c r="E227" s="85">
        <f>SUM('Personnel Yr 2'!L27)</f>
        <v>0</v>
      </c>
      <c r="F227" s="85">
        <f>SUM('Personnel Yr 3'!L27)</f>
        <v>0</v>
      </c>
      <c r="G227" s="85">
        <f>SUM('Personnel Yr 4'!L27)</f>
        <v>0</v>
      </c>
      <c r="H227" s="85">
        <f>SUM('Personnel Yr 5'!L27)</f>
        <v>0</v>
      </c>
      <c r="I227" s="85">
        <f>SUM(D227:H227)</f>
        <v>0</v>
      </c>
    </row>
    <row r="228" spans="1:9" x14ac:dyDescent="0.2">
      <c r="A228" s="86"/>
      <c r="B228" s="180" t="s">
        <v>127</v>
      </c>
      <c r="C228" s="180"/>
      <c r="D228" s="174">
        <f>D227/3.5</f>
        <v>0</v>
      </c>
      <c r="E228" s="174">
        <f>E227/3.5</f>
        <v>0</v>
      </c>
      <c r="F228" s="174">
        <f>F227/3.5</f>
        <v>0</v>
      </c>
      <c r="G228" s="174">
        <f>G227/3.5</f>
        <v>0</v>
      </c>
      <c r="H228" s="174">
        <f>H227/3.5</f>
        <v>0</v>
      </c>
      <c r="I228" s="178"/>
    </row>
    <row r="229" spans="1:9" x14ac:dyDescent="0.2">
      <c r="A229" s="87"/>
      <c r="B229" s="88" t="s">
        <v>128</v>
      </c>
      <c r="C229" s="88"/>
      <c r="D229" s="85">
        <f>SUM('Personnel Yr 1'!K27)</f>
        <v>0</v>
      </c>
      <c r="E229" s="85">
        <f>SUM('Personnel Yr 2'!K27)</f>
        <v>0</v>
      </c>
      <c r="F229" s="85">
        <f>SUM('Personnel Yr 3'!K27)</f>
        <v>0</v>
      </c>
      <c r="G229" s="85">
        <f>SUM('Personnel Yr 4'!K27)</f>
        <v>0</v>
      </c>
      <c r="H229" s="85">
        <f>SUM('Personnel Yr 5'!K27)</f>
        <v>0</v>
      </c>
      <c r="I229" s="85">
        <f>SUM(D229:H229)</f>
        <v>0</v>
      </c>
    </row>
    <row r="230" spans="1:9" x14ac:dyDescent="0.2">
      <c r="A230" s="87"/>
      <c r="B230" s="176" t="s">
        <v>129</v>
      </c>
      <c r="C230" s="176"/>
      <c r="D230" s="177">
        <f>D229/8.5</f>
        <v>0</v>
      </c>
      <c r="E230" s="177">
        <f>E229/8.5</f>
        <v>0</v>
      </c>
      <c r="F230" s="177">
        <f>F229/8.5</f>
        <v>0</v>
      </c>
      <c r="G230" s="177">
        <f>G229/8.5</f>
        <v>0</v>
      </c>
      <c r="H230" s="177">
        <f>H229/8.5</f>
        <v>0</v>
      </c>
      <c r="I230" s="178"/>
    </row>
    <row r="231" spans="1:9" x14ac:dyDescent="0.2">
      <c r="A231" s="87"/>
      <c r="B231" s="88" t="s">
        <v>130</v>
      </c>
      <c r="C231" s="88"/>
      <c r="D231" s="85">
        <f>SUM('Personnel Yr 1'!J27)</f>
        <v>0</v>
      </c>
      <c r="E231" s="85">
        <f>SUM('Personnel Yr 2'!J27)</f>
        <v>0</v>
      </c>
      <c r="F231" s="85">
        <f>SUM('Personnel Yr 3'!J27)</f>
        <v>0</v>
      </c>
      <c r="G231" s="85">
        <f>SUM('Personnel Yr 4'!J27)</f>
        <v>0</v>
      </c>
      <c r="H231" s="85">
        <f>SUM('Personnel Yr 5'!J27)</f>
        <v>0</v>
      </c>
      <c r="I231" s="85">
        <f>SUM(D231:H231)</f>
        <v>0</v>
      </c>
    </row>
    <row r="232" spans="1:9" x14ac:dyDescent="0.2">
      <c r="A232" s="87"/>
      <c r="B232" s="212" t="s">
        <v>131</v>
      </c>
      <c r="C232" s="212"/>
      <c r="D232" s="213">
        <f>D231/12</f>
        <v>0</v>
      </c>
      <c r="E232" s="213">
        <f>E231/12</f>
        <v>0</v>
      </c>
      <c r="F232" s="213">
        <f>F231/12</f>
        <v>0</v>
      </c>
      <c r="G232" s="213">
        <f>G231/12</f>
        <v>0</v>
      </c>
      <c r="H232" s="213">
        <f>H231/12</f>
        <v>0</v>
      </c>
      <c r="I232" s="181"/>
    </row>
    <row r="233" spans="1:9" ht="15" x14ac:dyDescent="0.25">
      <c r="A233" s="761" t="s">
        <v>237</v>
      </c>
      <c r="B233" s="761"/>
      <c r="C233" s="761"/>
      <c r="D233" s="761"/>
      <c r="E233" s="64"/>
      <c r="F233" s="64"/>
      <c r="G233" s="64"/>
      <c r="H233" s="64"/>
      <c r="I233" s="64"/>
    </row>
    <row r="234" spans="1:9" x14ac:dyDescent="0.2">
      <c r="A234" s="760" t="str">
        <f>CONCATENATE('Personnel Yr 1'!B28, IF(OR(ISBLANK('Personnel Yr 1'!B28),'Personnel Yr 1'!B28=""),""," "),'Personnel Yr 1'!C28, " ",'Personnel Yr 1'!D28,IF(OR(ISBLANK('Personnel Yr 1'!D28),'Personnel Yr 1'!D28=""),""," "),'Personnel Yr 1'!E28," ",'Personnel Yr 1'!F28)</f>
        <v xml:space="preserve">  </v>
      </c>
      <c r="B234" s="760"/>
      <c r="C234" s="63" t="s">
        <v>119</v>
      </c>
      <c r="D234" s="82" t="s">
        <v>32</v>
      </c>
      <c r="E234" s="82" t="s">
        <v>33</v>
      </c>
      <c r="F234" s="82" t="s">
        <v>34</v>
      </c>
      <c r="G234" s="82" t="s">
        <v>35</v>
      </c>
      <c r="H234" s="82" t="s">
        <v>36</v>
      </c>
      <c r="I234" s="82" t="s">
        <v>37</v>
      </c>
    </row>
    <row r="235" spans="1:9" x14ac:dyDescent="0.2">
      <c r="A235" s="83" t="str">
        <f>IF(ISBLANK('Personnel Yr 1'!G28),"",'Personnel Yr 1'!G28)</f>
        <v/>
      </c>
      <c r="B235" s="84" t="s">
        <v>126</v>
      </c>
      <c r="C235" s="84"/>
      <c r="D235" s="85">
        <f>SUM('Personnel Yr 1'!L28)</f>
        <v>0</v>
      </c>
      <c r="E235" s="85">
        <f>SUM('Personnel Yr 2'!L28)</f>
        <v>0</v>
      </c>
      <c r="F235" s="85">
        <f>SUM('Personnel Yr 3'!L28)</f>
        <v>0</v>
      </c>
      <c r="G235" s="85">
        <f>SUM('Personnel Yr 4'!L28)</f>
        <v>0</v>
      </c>
      <c r="H235" s="85">
        <f>SUM('Personnel Yr 5'!L28)</f>
        <v>0</v>
      </c>
      <c r="I235" s="85">
        <f>SUM(D235:H235)</f>
        <v>0</v>
      </c>
    </row>
    <row r="236" spans="1:9" x14ac:dyDescent="0.2">
      <c r="A236" s="86"/>
      <c r="B236" s="180" t="s">
        <v>127</v>
      </c>
      <c r="C236" s="180"/>
      <c r="D236" s="174">
        <f>D235/3.5</f>
        <v>0</v>
      </c>
      <c r="E236" s="174">
        <f>E235/3.5</f>
        <v>0</v>
      </c>
      <c r="F236" s="174">
        <f>F235/3.5</f>
        <v>0</v>
      </c>
      <c r="G236" s="174">
        <f>G235/3.5</f>
        <v>0</v>
      </c>
      <c r="H236" s="174">
        <f>H235/3.5</f>
        <v>0</v>
      </c>
      <c r="I236" s="178"/>
    </row>
    <row r="237" spans="1:9" x14ac:dyDescent="0.2">
      <c r="A237" s="87"/>
      <c r="B237" s="88" t="s">
        <v>128</v>
      </c>
      <c r="C237" s="88"/>
      <c r="D237" s="85">
        <f>SUM('Personnel Yr 1'!K28)</f>
        <v>0</v>
      </c>
      <c r="E237" s="85">
        <f>SUM('Personnel Yr 2'!K28)</f>
        <v>0</v>
      </c>
      <c r="F237" s="85">
        <f>SUM('Personnel Yr 3'!K28)</f>
        <v>0</v>
      </c>
      <c r="G237" s="85">
        <f>SUM('Personnel Yr 4'!K28)</f>
        <v>0</v>
      </c>
      <c r="H237" s="85">
        <f>SUM('Personnel Yr 5'!K28)</f>
        <v>0</v>
      </c>
      <c r="I237" s="85">
        <f>SUM(D237:H237)</f>
        <v>0</v>
      </c>
    </row>
    <row r="238" spans="1:9" x14ac:dyDescent="0.2">
      <c r="A238" s="87"/>
      <c r="B238" s="176" t="s">
        <v>129</v>
      </c>
      <c r="C238" s="176"/>
      <c r="D238" s="177">
        <f>D237/8.5</f>
        <v>0</v>
      </c>
      <c r="E238" s="177">
        <f>E237/8.5</f>
        <v>0</v>
      </c>
      <c r="F238" s="177">
        <f>F237/8.5</f>
        <v>0</v>
      </c>
      <c r="G238" s="177">
        <f>G237/8.5</f>
        <v>0</v>
      </c>
      <c r="H238" s="177">
        <f>H237/8.5</f>
        <v>0</v>
      </c>
      <c r="I238" s="178"/>
    </row>
    <row r="239" spans="1:9" x14ac:dyDescent="0.2">
      <c r="A239" s="87"/>
      <c r="B239" s="88" t="s">
        <v>130</v>
      </c>
      <c r="C239" s="88"/>
      <c r="D239" s="85">
        <f>SUM('Personnel Yr 1'!J28)</f>
        <v>0</v>
      </c>
      <c r="E239" s="85">
        <f>SUM('Personnel Yr 2'!J28)</f>
        <v>0</v>
      </c>
      <c r="F239" s="85">
        <f>SUM('Personnel Yr 3'!J28)</f>
        <v>0</v>
      </c>
      <c r="G239" s="85">
        <f>SUM('Personnel Yr 4'!J28)</f>
        <v>0</v>
      </c>
      <c r="H239" s="85">
        <f>SUM('Personnel Yr 5'!J28)</f>
        <v>0</v>
      </c>
      <c r="I239" s="85">
        <f>SUM(D239:H239)</f>
        <v>0</v>
      </c>
    </row>
    <row r="240" spans="1:9" x14ac:dyDescent="0.2">
      <c r="A240" s="87"/>
      <c r="B240" s="176" t="s">
        <v>131</v>
      </c>
      <c r="C240" s="176"/>
      <c r="D240" s="177">
        <f>D239/12</f>
        <v>0</v>
      </c>
      <c r="E240" s="177">
        <f>E239/12</f>
        <v>0</v>
      </c>
      <c r="F240" s="177">
        <f>F239/12</f>
        <v>0</v>
      </c>
      <c r="G240" s="177">
        <f>G239/12</f>
        <v>0</v>
      </c>
      <c r="H240" s="177">
        <f>H239/12</f>
        <v>0</v>
      </c>
      <c r="I240" s="179"/>
    </row>
    <row r="241" spans="1:9" x14ac:dyDescent="0.2">
      <c r="A241" s="693" t="str">
        <f>CONCATENATE('Personnel Yr 1'!B29, IF(OR(ISBLANK('Personnel Yr 1'!B29),'Personnel Yr 1'!B29=""),""," "),'Personnel Yr 1'!C29, " ",'Personnel Yr 1'!D29,IF(OR(ISBLANK('Personnel Yr 1'!D29),'Personnel Yr 1'!D29=""),""," "),'Personnel Yr 1'!E29," ",'Personnel Yr 1'!F29)</f>
        <v xml:space="preserve">  </v>
      </c>
      <c r="B241" s="694"/>
      <c r="C241" s="90"/>
      <c r="D241" s="91"/>
      <c r="E241" s="91"/>
      <c r="F241" s="91"/>
      <c r="G241" s="91"/>
      <c r="H241" s="91"/>
      <c r="I241" s="89"/>
    </row>
    <row r="242" spans="1:9" x14ac:dyDescent="0.2">
      <c r="A242" s="86" t="str">
        <f>IF(ISBLANK('Personnel Yr 1'!G29),"",'Personnel Yr 1'!G29)</f>
        <v/>
      </c>
      <c r="B242" s="84" t="s">
        <v>126</v>
      </c>
      <c r="C242" s="84"/>
      <c r="D242" s="85">
        <f>SUM('Personnel Yr 1'!L29)</f>
        <v>0</v>
      </c>
      <c r="E242" s="85">
        <f>SUM('Personnel Yr 2'!L29)</f>
        <v>0</v>
      </c>
      <c r="F242" s="85">
        <f>SUM('Personnel Yr 3'!L29)</f>
        <v>0</v>
      </c>
      <c r="G242" s="85">
        <f>SUM('Personnel Yr 4'!L29)</f>
        <v>0</v>
      </c>
      <c r="H242" s="85">
        <f>SUM('Personnel Yr 5'!L29)</f>
        <v>0</v>
      </c>
      <c r="I242" s="85">
        <f>SUM(D242:H242)</f>
        <v>0</v>
      </c>
    </row>
    <row r="243" spans="1:9" x14ac:dyDescent="0.2">
      <c r="A243" s="86"/>
      <c r="B243" s="180" t="s">
        <v>127</v>
      </c>
      <c r="C243" s="180"/>
      <c r="D243" s="174">
        <f>D242/3.5</f>
        <v>0</v>
      </c>
      <c r="E243" s="174">
        <f>E242/3.5</f>
        <v>0</v>
      </c>
      <c r="F243" s="174">
        <f>F242/3.5</f>
        <v>0</v>
      </c>
      <c r="G243" s="174">
        <f>G242/3.5</f>
        <v>0</v>
      </c>
      <c r="H243" s="174">
        <f>H242/3.5</f>
        <v>0</v>
      </c>
      <c r="I243" s="178"/>
    </row>
    <row r="244" spans="1:9" x14ac:dyDescent="0.2">
      <c r="A244" s="87"/>
      <c r="B244" s="88" t="s">
        <v>128</v>
      </c>
      <c r="C244" s="88"/>
      <c r="D244" s="85">
        <f>SUM('Personnel Yr 1'!K29)</f>
        <v>0</v>
      </c>
      <c r="E244" s="85">
        <f>SUM('Personnel Yr 2'!K29)</f>
        <v>0</v>
      </c>
      <c r="F244" s="85">
        <f>SUM('Personnel Yr 3'!K29)</f>
        <v>0</v>
      </c>
      <c r="G244" s="85">
        <f>SUM('Personnel Yr 4'!K29)</f>
        <v>0</v>
      </c>
      <c r="H244" s="85">
        <f>SUM('Personnel Yr 5'!K29)</f>
        <v>0</v>
      </c>
      <c r="I244" s="85">
        <f>SUM(D244:H244)</f>
        <v>0</v>
      </c>
    </row>
    <row r="245" spans="1:9" x14ac:dyDescent="0.2">
      <c r="A245" s="87"/>
      <c r="B245" s="176" t="s">
        <v>129</v>
      </c>
      <c r="C245" s="176"/>
      <c r="D245" s="177">
        <f>D244/8.5</f>
        <v>0</v>
      </c>
      <c r="E245" s="177">
        <f>E244/8.5</f>
        <v>0</v>
      </c>
      <c r="F245" s="177">
        <f>F244/8.5</f>
        <v>0</v>
      </c>
      <c r="G245" s="177">
        <f>G244/8.5</f>
        <v>0</v>
      </c>
      <c r="H245" s="177">
        <f>H244/8.5</f>
        <v>0</v>
      </c>
      <c r="I245" s="178"/>
    </row>
    <row r="246" spans="1:9" x14ac:dyDescent="0.2">
      <c r="A246" s="87"/>
      <c r="B246" s="88" t="s">
        <v>130</v>
      </c>
      <c r="C246" s="88"/>
      <c r="D246" s="85">
        <f>SUM('Personnel Yr 1'!M29)</f>
        <v>0</v>
      </c>
      <c r="E246" s="85">
        <f>SUM('Personnel Yr 2'!M29)</f>
        <v>0</v>
      </c>
      <c r="F246" s="85">
        <f>SUM('Personnel Yr 3'!M29)</f>
        <v>0</v>
      </c>
      <c r="G246" s="85">
        <f>SUM('Personnel Yr 4'!M29)</f>
        <v>0</v>
      </c>
      <c r="H246" s="85">
        <f>SUM('Personnel Yr 5'!M29)</f>
        <v>0</v>
      </c>
      <c r="I246" s="85">
        <f>SUM(D246:H246)</f>
        <v>0</v>
      </c>
    </row>
    <row r="247" spans="1:9" x14ac:dyDescent="0.2">
      <c r="A247" s="87"/>
      <c r="B247" s="176" t="s">
        <v>131</v>
      </c>
      <c r="C247" s="176"/>
      <c r="D247" s="177">
        <f>D246/12</f>
        <v>0</v>
      </c>
      <c r="E247" s="177">
        <f>E246/12</f>
        <v>0</v>
      </c>
      <c r="F247" s="177">
        <f>F246/12</f>
        <v>0</v>
      </c>
      <c r="G247" s="177">
        <f>G246/12</f>
        <v>0</v>
      </c>
      <c r="H247" s="177">
        <f>H246/12</f>
        <v>0</v>
      </c>
      <c r="I247" s="179"/>
    </row>
    <row r="248" spans="1:9" x14ac:dyDescent="0.2">
      <c r="A248" s="693" t="str">
        <f>CONCATENATE('Personnel Yr 1'!B30, IF(OR(ISBLANK('Personnel Yr 1'!B30),'Personnel Yr 1'!B30=""),""," "),'Personnel Yr 1'!C30, " ",'Personnel Yr 1'!D30,IF(OR(ISBLANK('Personnel Yr 1'!D30),'Personnel Yr 1'!D30=""),""," "),'Personnel Yr 1'!E30," ",'Personnel Yr 1'!F30)</f>
        <v xml:space="preserve">  </v>
      </c>
      <c r="B248" s="694"/>
      <c r="C248" s="90"/>
      <c r="D248" s="91"/>
      <c r="E248" s="91"/>
      <c r="F248" s="91"/>
      <c r="G248" s="91"/>
      <c r="H248" s="91"/>
      <c r="I248" s="89"/>
    </row>
    <row r="249" spans="1:9" x14ac:dyDescent="0.2">
      <c r="A249" s="86" t="str">
        <f>IF(ISBLANK('Personnel Yr 1'!G30),"",'Personnel Yr 1'!G30)</f>
        <v/>
      </c>
      <c r="B249" s="84" t="s">
        <v>126</v>
      </c>
      <c r="C249" s="84"/>
      <c r="D249" s="85">
        <f>SUM('Personnel Yr 1'!L30)</f>
        <v>0</v>
      </c>
      <c r="E249" s="85">
        <f>SUM('Personnel Yr 2'!L30)</f>
        <v>0</v>
      </c>
      <c r="F249" s="85">
        <f>SUM('Personnel Yr 3'!L30)</f>
        <v>0</v>
      </c>
      <c r="G249" s="85">
        <f>SUM('Personnel Yr 4'!L30)</f>
        <v>0</v>
      </c>
      <c r="H249" s="85">
        <f>SUM('Personnel Yr 5'!L30)</f>
        <v>0</v>
      </c>
      <c r="I249" s="85">
        <f>SUM(D249:H249)</f>
        <v>0</v>
      </c>
    </row>
    <row r="250" spans="1:9" x14ac:dyDescent="0.2">
      <c r="A250" s="86"/>
      <c r="B250" s="180" t="s">
        <v>127</v>
      </c>
      <c r="C250" s="180"/>
      <c r="D250" s="174">
        <f>D249/3.5</f>
        <v>0</v>
      </c>
      <c r="E250" s="174">
        <f>E249/3.5</f>
        <v>0</v>
      </c>
      <c r="F250" s="174">
        <f>F249/3.5</f>
        <v>0</v>
      </c>
      <c r="G250" s="174">
        <f>G249/3.5</f>
        <v>0</v>
      </c>
      <c r="H250" s="174">
        <f>H249/3.5</f>
        <v>0</v>
      </c>
      <c r="I250" s="178"/>
    </row>
    <row r="251" spans="1:9" x14ac:dyDescent="0.2">
      <c r="A251" s="87"/>
      <c r="B251" s="88" t="s">
        <v>128</v>
      </c>
      <c r="C251" s="88"/>
      <c r="D251" s="85">
        <f>SUM('Personnel Yr 1'!K30)</f>
        <v>0</v>
      </c>
      <c r="E251" s="85">
        <f>SUM('Personnel Yr 2'!K30)</f>
        <v>0</v>
      </c>
      <c r="F251" s="85">
        <f>SUM('Personnel Yr 3'!K30)</f>
        <v>0</v>
      </c>
      <c r="G251" s="85">
        <f>SUM('Personnel Yr 4'!K30)</f>
        <v>0</v>
      </c>
      <c r="H251" s="85">
        <f>SUM('Personnel Yr 5'!K30)</f>
        <v>0</v>
      </c>
      <c r="I251" s="85">
        <f>SUM(D251:H251)</f>
        <v>0</v>
      </c>
    </row>
    <row r="252" spans="1:9" x14ac:dyDescent="0.2">
      <c r="A252" s="87"/>
      <c r="B252" s="176" t="s">
        <v>129</v>
      </c>
      <c r="C252" s="176"/>
      <c r="D252" s="177">
        <f>D251/8.5</f>
        <v>0</v>
      </c>
      <c r="E252" s="177">
        <f>E251/8.5</f>
        <v>0</v>
      </c>
      <c r="F252" s="177">
        <f>F251/8.5</f>
        <v>0</v>
      </c>
      <c r="G252" s="177">
        <f>G251/8.5</f>
        <v>0</v>
      </c>
      <c r="H252" s="177">
        <f>H251/8.5</f>
        <v>0</v>
      </c>
      <c r="I252" s="178"/>
    </row>
    <row r="253" spans="1:9" x14ac:dyDescent="0.2">
      <c r="A253" s="87"/>
      <c r="B253" s="88" t="s">
        <v>130</v>
      </c>
      <c r="C253" s="88"/>
      <c r="D253" s="85">
        <f>SUM('Personnel Yr 1'!J31)</f>
        <v>0</v>
      </c>
      <c r="E253" s="85">
        <f>SUM('Personnel Yr 2'!J31)</f>
        <v>0</v>
      </c>
      <c r="F253" s="85">
        <f>SUM('Personnel Yr 3'!J31)</f>
        <v>0</v>
      </c>
      <c r="G253" s="85">
        <f>SUM('Personnel Yr 4'!J31)</f>
        <v>0</v>
      </c>
      <c r="H253" s="85">
        <f>SUM('Personnel Yr 5'!J31)</f>
        <v>0</v>
      </c>
      <c r="I253" s="85">
        <f>SUM(D253:H253)</f>
        <v>0</v>
      </c>
    </row>
    <row r="254" spans="1:9" x14ac:dyDescent="0.2">
      <c r="A254" s="87"/>
      <c r="B254" s="176" t="s">
        <v>131</v>
      </c>
      <c r="C254" s="176"/>
      <c r="D254" s="177">
        <f>D253/12</f>
        <v>0</v>
      </c>
      <c r="E254" s="177">
        <f>E253/12</f>
        <v>0</v>
      </c>
      <c r="F254" s="177">
        <f>F253/12</f>
        <v>0</v>
      </c>
      <c r="G254" s="177">
        <f>G253/12</f>
        <v>0</v>
      </c>
      <c r="H254" s="177">
        <f>H253/12</f>
        <v>0</v>
      </c>
      <c r="I254" s="179"/>
    </row>
    <row r="255" spans="1:9" x14ac:dyDescent="0.2">
      <c r="A255" s="693" t="str">
        <f>CONCATENATE('Personnel Yr 1'!B31, IF(OR(ISBLANK('Personnel Yr 1'!B31),'Personnel Yr 1'!B31=""),""," "),'Personnel Yr 1'!C31, " ",'Personnel Yr 1'!D31,IF(OR(ISBLANK('Personnel Yr 1'!D31),'Personnel Yr 1'!D31=""),""," "),'Personnel Yr 1'!E31," ",'Personnel Yr 1'!F31)</f>
        <v xml:space="preserve">  </v>
      </c>
      <c r="B255" s="694"/>
      <c r="C255" s="90"/>
      <c r="D255" s="91"/>
      <c r="E255" s="91"/>
      <c r="F255" s="91"/>
      <c r="G255" s="91"/>
      <c r="H255" s="91"/>
      <c r="I255" s="89"/>
    </row>
    <row r="256" spans="1:9" x14ac:dyDescent="0.2">
      <c r="A256" s="86" t="str">
        <f>IF(ISBLANK('Personnel Yr 1'!G31),"",'Personnel Yr 1'!G31)</f>
        <v/>
      </c>
      <c r="B256" s="84" t="s">
        <v>126</v>
      </c>
      <c r="C256" s="84"/>
      <c r="D256" s="85">
        <f>SUM('Personnel Yr 1'!L31)</f>
        <v>0</v>
      </c>
      <c r="E256" s="85">
        <f>SUM('Personnel Yr 2'!L31)</f>
        <v>0</v>
      </c>
      <c r="F256" s="85">
        <f>SUM('Personnel Yr 3'!L31)</f>
        <v>0</v>
      </c>
      <c r="G256" s="85">
        <f>SUM('Personnel Yr 4'!L31)</f>
        <v>0</v>
      </c>
      <c r="H256" s="85">
        <f>SUM('Personnel Yr 5'!L31)</f>
        <v>0</v>
      </c>
      <c r="I256" s="85">
        <f>SUM(D256:H256)</f>
        <v>0</v>
      </c>
    </row>
    <row r="257" spans="1:9" x14ac:dyDescent="0.2">
      <c r="A257" s="86"/>
      <c r="B257" s="180" t="s">
        <v>127</v>
      </c>
      <c r="C257" s="180"/>
      <c r="D257" s="174">
        <f>D256/3.5</f>
        <v>0</v>
      </c>
      <c r="E257" s="174">
        <f>E256/3.5</f>
        <v>0</v>
      </c>
      <c r="F257" s="174">
        <f>F256/3.5</f>
        <v>0</v>
      </c>
      <c r="G257" s="174">
        <f>G256/3.5</f>
        <v>0</v>
      </c>
      <c r="H257" s="174">
        <f>H256/3.5</f>
        <v>0</v>
      </c>
      <c r="I257" s="178"/>
    </row>
    <row r="258" spans="1:9" x14ac:dyDescent="0.2">
      <c r="A258" s="87"/>
      <c r="B258" s="88" t="s">
        <v>128</v>
      </c>
      <c r="C258" s="88"/>
      <c r="D258" s="85">
        <f>SUM('Personnel Yr 1'!K31)</f>
        <v>0</v>
      </c>
      <c r="E258" s="85">
        <f>SUM('Personnel Yr 2'!K31)</f>
        <v>0</v>
      </c>
      <c r="F258" s="85">
        <f>SUM('Personnel Yr 3'!K31)</f>
        <v>0</v>
      </c>
      <c r="G258" s="85">
        <f>SUM('Personnel Yr 4'!K31)</f>
        <v>0</v>
      </c>
      <c r="H258" s="85">
        <f>SUM('Personnel Yr 5'!K31)</f>
        <v>0</v>
      </c>
      <c r="I258" s="85">
        <f>SUM(D258:H258)</f>
        <v>0</v>
      </c>
    </row>
    <row r="259" spans="1:9" x14ac:dyDescent="0.2">
      <c r="A259" s="87"/>
      <c r="B259" s="176" t="s">
        <v>129</v>
      </c>
      <c r="C259" s="176"/>
      <c r="D259" s="177">
        <f>D258/8.5</f>
        <v>0</v>
      </c>
      <c r="E259" s="177">
        <f>E258/8.5</f>
        <v>0</v>
      </c>
      <c r="F259" s="177">
        <f>F258/8.5</f>
        <v>0</v>
      </c>
      <c r="G259" s="177">
        <f>G258/8.5</f>
        <v>0</v>
      </c>
      <c r="H259" s="177">
        <f>H258/8.5</f>
        <v>0</v>
      </c>
      <c r="I259" s="178"/>
    </row>
    <row r="260" spans="1:9" x14ac:dyDescent="0.2">
      <c r="A260" s="87"/>
      <c r="B260" s="88" t="s">
        <v>130</v>
      </c>
      <c r="C260" s="88"/>
      <c r="D260" s="85">
        <f>SUM('Personnel Yr 1'!J31)</f>
        <v>0</v>
      </c>
      <c r="E260" s="85">
        <f>SUM('Personnel Yr 2'!J31)</f>
        <v>0</v>
      </c>
      <c r="F260" s="85">
        <f>SUM('Personnel Yr 3'!J31)</f>
        <v>0</v>
      </c>
      <c r="G260" s="85">
        <f>SUM('Personnel Yr 4'!J31)</f>
        <v>0</v>
      </c>
      <c r="H260" s="85">
        <f>SUM('Personnel Yr 5'!J31)</f>
        <v>0</v>
      </c>
      <c r="I260" s="85">
        <f>SUM(D260:H260)</f>
        <v>0</v>
      </c>
    </row>
    <row r="261" spans="1:9" x14ac:dyDescent="0.2">
      <c r="A261" s="146"/>
      <c r="B261" s="176" t="s">
        <v>131</v>
      </c>
      <c r="C261" s="176"/>
      <c r="D261" s="177">
        <f>D260/12</f>
        <v>0</v>
      </c>
      <c r="E261" s="177">
        <f>E260/12</f>
        <v>0</v>
      </c>
      <c r="F261" s="177">
        <f>F260/12</f>
        <v>0</v>
      </c>
      <c r="G261" s="177">
        <f>G260/12</f>
        <v>0</v>
      </c>
      <c r="H261" s="177">
        <f>H260/12</f>
        <v>0</v>
      </c>
      <c r="I261" s="179"/>
    </row>
    <row r="262" spans="1:9" x14ac:dyDescent="0.2">
      <c r="A262" s="693" t="str">
        <f>CONCATENATE('Personnel Yr 1'!B32, IF(OR(ISBLANK('Personnel Yr 1'!B32),'Personnel Yr 1'!B32=""),""," "),'Personnel Yr 1'!C32, " ",'Personnel Yr 1'!D32,IF(OR(ISBLANK('Personnel Yr 1'!D32),'Personnel Yr 1'!D32=""),""," "),'Personnel Yr 1'!E32," ",'Personnel Yr 1'!F32)</f>
        <v xml:space="preserve">  </v>
      </c>
      <c r="B262" s="694"/>
      <c r="C262" s="90"/>
      <c r="D262" s="91"/>
      <c r="E262" s="91"/>
      <c r="F262" s="91"/>
      <c r="G262" s="91"/>
      <c r="H262" s="91"/>
      <c r="I262" s="89"/>
    </row>
    <row r="263" spans="1:9" x14ac:dyDescent="0.2">
      <c r="A263" s="83" t="str">
        <f>IF(ISBLANK('Personnel Yr 1'!G32),"",'Personnel Yr 1'!G32)</f>
        <v/>
      </c>
      <c r="B263" s="84" t="s">
        <v>126</v>
      </c>
      <c r="C263" s="84"/>
      <c r="D263" s="85">
        <f>SUM('Personnel Yr 1'!L32)</f>
        <v>0</v>
      </c>
      <c r="E263" s="85">
        <f>SUM('Personnel Yr 2'!L32)</f>
        <v>0</v>
      </c>
      <c r="F263" s="85">
        <f>SUM('Personnel Yr 3'!L32)</f>
        <v>0</v>
      </c>
      <c r="G263" s="85">
        <f>SUM('Personnel Yr 4'!L32)</f>
        <v>0</v>
      </c>
      <c r="H263" s="85">
        <f>SUM('Personnel Yr 4'!L32)</f>
        <v>0</v>
      </c>
      <c r="I263" s="85">
        <f>SUM(D263:H263)</f>
        <v>0</v>
      </c>
    </row>
    <row r="264" spans="1:9" x14ac:dyDescent="0.2">
      <c r="A264" s="86"/>
      <c r="B264" s="180" t="s">
        <v>127</v>
      </c>
      <c r="C264" s="180"/>
      <c r="D264" s="174">
        <f>D263/3.5</f>
        <v>0</v>
      </c>
      <c r="E264" s="174">
        <f>E263/3.5</f>
        <v>0</v>
      </c>
      <c r="F264" s="174">
        <f>F263/3.5</f>
        <v>0</v>
      </c>
      <c r="G264" s="174">
        <f>G263/3.5</f>
        <v>0</v>
      </c>
      <c r="H264" s="174">
        <f>H263/3.5</f>
        <v>0</v>
      </c>
      <c r="I264" s="178"/>
    </row>
    <row r="265" spans="1:9" x14ac:dyDescent="0.2">
      <c r="A265" s="87"/>
      <c r="B265" s="88" t="s">
        <v>128</v>
      </c>
      <c r="C265" s="88"/>
      <c r="D265" s="85">
        <f>SUM('Personnel Yr 1'!K32)</f>
        <v>0</v>
      </c>
      <c r="E265" s="85">
        <f>SUM('Personnel Yr 2'!K32)</f>
        <v>0</v>
      </c>
      <c r="F265" s="85">
        <f>SUM('Personnel Yr 3'!K32)</f>
        <v>0</v>
      </c>
      <c r="G265" s="85">
        <f>SUM('Personnel Yr 4'!K32)</f>
        <v>0</v>
      </c>
      <c r="H265" s="85">
        <f>SUM('Personnel Yr 5'!K32)</f>
        <v>0</v>
      </c>
      <c r="I265" s="85">
        <f>SUM(D265:H265)</f>
        <v>0</v>
      </c>
    </row>
    <row r="266" spans="1:9" x14ac:dyDescent="0.2">
      <c r="A266" s="87"/>
      <c r="B266" s="176" t="s">
        <v>129</v>
      </c>
      <c r="C266" s="176"/>
      <c r="D266" s="177">
        <f>D265/8.5</f>
        <v>0</v>
      </c>
      <c r="E266" s="177">
        <f>E265/8.5</f>
        <v>0</v>
      </c>
      <c r="F266" s="177">
        <f>F265/8.5</f>
        <v>0</v>
      </c>
      <c r="G266" s="177">
        <f>G265/8.5</f>
        <v>0</v>
      </c>
      <c r="H266" s="177">
        <f>H265/8.5</f>
        <v>0</v>
      </c>
      <c r="I266" s="178"/>
    </row>
    <row r="267" spans="1:9" x14ac:dyDescent="0.2">
      <c r="A267" s="87"/>
      <c r="B267" s="88" t="s">
        <v>130</v>
      </c>
      <c r="C267" s="88"/>
      <c r="D267" s="85">
        <f>SUM('Personnel Yr 1'!J32)</f>
        <v>0</v>
      </c>
      <c r="E267" s="85">
        <f>SUM('Personnel Yr 2'!J32)</f>
        <v>0</v>
      </c>
      <c r="F267" s="85">
        <f>SUM('Personnel Yr 3'!J32)</f>
        <v>0</v>
      </c>
      <c r="G267" s="85">
        <f>SUM('Personnel Yr 4'!J32)</f>
        <v>0</v>
      </c>
      <c r="H267" s="85">
        <f>SUM('Personnel Yr 5'!J32)</f>
        <v>0</v>
      </c>
      <c r="I267" s="85">
        <f>SUM(D267:H267)</f>
        <v>0</v>
      </c>
    </row>
    <row r="268" spans="1:9" x14ac:dyDescent="0.2">
      <c r="A268" s="146"/>
      <c r="B268" s="176" t="s">
        <v>131</v>
      </c>
      <c r="C268" s="176"/>
      <c r="D268" s="177">
        <f>D267/12</f>
        <v>0</v>
      </c>
      <c r="E268" s="177">
        <f>E267/12</f>
        <v>0</v>
      </c>
      <c r="F268" s="177">
        <f>F267/12</f>
        <v>0</v>
      </c>
      <c r="G268" s="177">
        <f>G267/12</f>
        <v>0</v>
      </c>
      <c r="H268" s="177">
        <f>H267/12</f>
        <v>0</v>
      </c>
      <c r="I268" s="181"/>
    </row>
    <row r="269" spans="1:9" x14ac:dyDescent="0.2">
      <c r="A269" s="693" t="str">
        <f>CONCATENATE('Personnel Yr 1'!B33, IF(OR(ISBLANK('Personnel Yr 1'!B33),'Personnel Yr 1'!B33=""),""," "),'Personnel Yr 1'!C33, " ",'Personnel Yr 1'!D33,IF(OR(ISBLANK('Personnel Yr 1'!D33),'Personnel Yr 1'!D33=""),""," "),'Personnel Yr 1'!E33," ",'Personnel Yr 1'!F33)</f>
        <v xml:space="preserve">  </v>
      </c>
      <c r="B269" s="694"/>
      <c r="C269" s="90"/>
      <c r="D269" s="91"/>
      <c r="E269" s="91"/>
      <c r="F269" s="91"/>
      <c r="G269" s="91"/>
      <c r="H269" s="91"/>
      <c r="I269" s="89"/>
    </row>
    <row r="270" spans="1:9" x14ac:dyDescent="0.2">
      <c r="A270" s="83" t="str">
        <f>IF(ISBLANK('Personnel Yr 1'!G33),"",'Personnel Yr 1'!G33)</f>
        <v/>
      </c>
      <c r="B270" s="84" t="s">
        <v>126</v>
      </c>
      <c r="C270" s="84"/>
      <c r="D270" s="85">
        <f>SUM('Personnel Yr 1'!L33)</f>
        <v>0</v>
      </c>
      <c r="E270" s="85">
        <f>SUM('Personnel Yr 2'!L33)</f>
        <v>0</v>
      </c>
      <c r="F270" s="85">
        <f>SUM('Personnel Yr 3'!L33)</f>
        <v>0</v>
      </c>
      <c r="G270" s="85">
        <f>SUM('Personnel Yr 4'!L33)</f>
        <v>0</v>
      </c>
      <c r="H270" s="85">
        <f>SUM('Personnel Yr 4'!L33)</f>
        <v>0</v>
      </c>
      <c r="I270" s="85">
        <f>SUM(D270:H270)</f>
        <v>0</v>
      </c>
    </row>
    <row r="271" spans="1:9" x14ac:dyDescent="0.2">
      <c r="A271" s="86"/>
      <c r="B271" s="180" t="s">
        <v>127</v>
      </c>
      <c r="C271" s="180"/>
      <c r="D271" s="174">
        <f>D270/3.5</f>
        <v>0</v>
      </c>
      <c r="E271" s="174">
        <f>E270/3.5</f>
        <v>0</v>
      </c>
      <c r="F271" s="174">
        <f>F270/3.5</f>
        <v>0</v>
      </c>
      <c r="G271" s="174">
        <f>G270/3.5</f>
        <v>0</v>
      </c>
      <c r="H271" s="174">
        <f>H270/3.5</f>
        <v>0</v>
      </c>
      <c r="I271" s="178"/>
    </row>
    <row r="272" spans="1:9" x14ac:dyDescent="0.2">
      <c r="A272" s="87"/>
      <c r="B272" s="88" t="s">
        <v>128</v>
      </c>
      <c r="C272" s="88"/>
      <c r="D272" s="85">
        <f>SUM('Personnel Yr 1'!K33)</f>
        <v>0</v>
      </c>
      <c r="E272" s="85">
        <f>SUM('Personnel Yr 2'!K33)</f>
        <v>0</v>
      </c>
      <c r="F272" s="85">
        <f>SUM('Personnel Yr 3'!K33)</f>
        <v>0</v>
      </c>
      <c r="G272" s="85">
        <f>SUM('Personnel Yr 4'!K33)</f>
        <v>0</v>
      </c>
      <c r="H272" s="85">
        <f>SUM('Personnel Yr 5'!K33)</f>
        <v>0</v>
      </c>
      <c r="I272" s="85">
        <f>SUM(D272:H272)</f>
        <v>0</v>
      </c>
    </row>
    <row r="273" spans="1:9" x14ac:dyDescent="0.2">
      <c r="A273" s="87"/>
      <c r="B273" s="176" t="s">
        <v>129</v>
      </c>
      <c r="C273" s="176"/>
      <c r="D273" s="177">
        <f>D272/8.5</f>
        <v>0</v>
      </c>
      <c r="E273" s="177">
        <f>E272/8.5</f>
        <v>0</v>
      </c>
      <c r="F273" s="177">
        <f>F272/8.5</f>
        <v>0</v>
      </c>
      <c r="G273" s="177">
        <f>G272/8.5</f>
        <v>0</v>
      </c>
      <c r="H273" s="177">
        <f>H272/8.5</f>
        <v>0</v>
      </c>
      <c r="I273" s="178"/>
    </row>
    <row r="274" spans="1:9" x14ac:dyDescent="0.2">
      <c r="A274" s="87"/>
      <c r="B274" s="88" t="s">
        <v>130</v>
      </c>
      <c r="C274" s="88"/>
      <c r="D274" s="85">
        <f>SUM('Personnel Yr 1'!J33)</f>
        <v>0</v>
      </c>
      <c r="E274" s="85">
        <f>SUM('Personnel Yr 2'!J33)</f>
        <v>0</v>
      </c>
      <c r="F274" s="85">
        <f>SUM('Personnel Yr 3'!J33)</f>
        <v>0</v>
      </c>
      <c r="G274" s="85">
        <f>SUM('Personnel Yr 4'!J33)</f>
        <v>0</v>
      </c>
      <c r="H274" s="85">
        <f>SUM('Personnel Yr 5'!J33)</f>
        <v>0</v>
      </c>
      <c r="I274" s="85">
        <f>SUM(D274:H274)</f>
        <v>0</v>
      </c>
    </row>
    <row r="275" spans="1:9" x14ac:dyDescent="0.2">
      <c r="A275" s="146"/>
      <c r="B275" s="176" t="s">
        <v>131</v>
      </c>
      <c r="C275" s="176"/>
      <c r="D275" s="177">
        <f>D274/12</f>
        <v>0</v>
      </c>
      <c r="E275" s="177">
        <f>E274/12</f>
        <v>0</v>
      </c>
      <c r="F275" s="177">
        <f>F274/12</f>
        <v>0</v>
      </c>
      <c r="G275" s="177">
        <f>G274/12</f>
        <v>0</v>
      </c>
      <c r="H275" s="177">
        <f>H274/12</f>
        <v>0</v>
      </c>
      <c r="I275" s="181"/>
    </row>
    <row r="276" spans="1:9" x14ac:dyDescent="0.2">
      <c r="A276" s="693" t="str">
        <f>CONCATENATE('Personnel Yr 1'!B34, IF(OR(ISBLANK('Personnel Yr 1'!B34),'Personnel Yr 1'!B34=""),""," "),'Personnel Yr 1'!C34, " ",'Personnel Yr 1'!D34,IF(OR(ISBLANK('Personnel Yr 1'!D34),'Personnel Yr 1'!D34=""),""," "),'Personnel Yr 1'!E34," ",'Personnel Yr 1'!F34)</f>
        <v xml:space="preserve">  </v>
      </c>
      <c r="B276" s="694"/>
      <c r="C276" s="90"/>
      <c r="D276" s="93"/>
      <c r="E276" s="93"/>
      <c r="F276" s="93"/>
      <c r="G276" s="93"/>
      <c r="H276" s="145"/>
      <c r="I276" s="144"/>
    </row>
    <row r="277" spans="1:9" x14ac:dyDescent="0.2">
      <c r="A277" s="83" t="str">
        <f>IF(ISBLANK('Personnel Yr 1'!G34),"",'Personnel Yr 1'!G34)</f>
        <v/>
      </c>
      <c r="B277" s="84" t="s">
        <v>126</v>
      </c>
      <c r="C277" s="84"/>
      <c r="D277" s="85">
        <f>SUM('Personnel Yr 1'!L34)</f>
        <v>0</v>
      </c>
      <c r="E277" s="85">
        <f>SUM('Personnel Yr 2'!L34)</f>
        <v>0</v>
      </c>
      <c r="F277" s="85">
        <f>SUM('Personnel Yr 3'!L34)</f>
        <v>0</v>
      </c>
      <c r="G277" s="85">
        <f>SUM('Personnel Yr 4'!L34)</f>
        <v>0</v>
      </c>
      <c r="H277" s="85">
        <f>SUM('Personnel Yr 5'!L34)</f>
        <v>0</v>
      </c>
      <c r="I277" s="85">
        <f>SUM(D277:H277)</f>
        <v>0</v>
      </c>
    </row>
    <row r="278" spans="1:9" x14ac:dyDescent="0.2">
      <c r="A278" s="86"/>
      <c r="B278" s="180" t="s">
        <v>127</v>
      </c>
      <c r="C278" s="180"/>
      <c r="D278" s="174">
        <f>D277/3.5</f>
        <v>0</v>
      </c>
      <c r="E278" s="174">
        <f>E277/3.5</f>
        <v>0</v>
      </c>
      <c r="F278" s="174">
        <f>F277/3.5</f>
        <v>0</v>
      </c>
      <c r="G278" s="174">
        <f>G277/3.5</f>
        <v>0</v>
      </c>
      <c r="H278" s="174">
        <f>H277/3.5</f>
        <v>0</v>
      </c>
      <c r="I278" s="178"/>
    </row>
    <row r="279" spans="1:9" x14ac:dyDescent="0.2">
      <c r="A279" s="87"/>
      <c r="B279" s="88" t="s">
        <v>128</v>
      </c>
      <c r="C279" s="88"/>
      <c r="D279" s="85">
        <f>SUM('Personnel Yr 1'!K34)</f>
        <v>0</v>
      </c>
      <c r="E279" s="85">
        <f>SUM('Personnel Yr 2'!K34)</f>
        <v>0</v>
      </c>
      <c r="F279" s="85">
        <f>SUM('Personnel Yr 3'!K34)</f>
        <v>0</v>
      </c>
      <c r="G279" s="85">
        <f>SUM('Personnel Yr 4'!K34)</f>
        <v>0</v>
      </c>
      <c r="H279" s="85">
        <f>SUM('Personnel Yr 5'!K34)</f>
        <v>0</v>
      </c>
      <c r="I279" s="85">
        <f>SUM(D279:H279)</f>
        <v>0</v>
      </c>
    </row>
    <row r="280" spans="1:9" x14ac:dyDescent="0.2">
      <c r="A280" s="87"/>
      <c r="B280" s="176" t="s">
        <v>129</v>
      </c>
      <c r="C280" s="176"/>
      <c r="D280" s="177">
        <f>D279/8.5</f>
        <v>0</v>
      </c>
      <c r="E280" s="177">
        <f>E279/8.5</f>
        <v>0</v>
      </c>
      <c r="F280" s="177">
        <f>F279/8.5</f>
        <v>0</v>
      </c>
      <c r="G280" s="177">
        <f>G279/8.5</f>
        <v>0</v>
      </c>
      <c r="H280" s="177">
        <f>H279/8.5</f>
        <v>0</v>
      </c>
      <c r="I280" s="178"/>
    </row>
    <row r="281" spans="1:9" x14ac:dyDescent="0.2">
      <c r="A281" s="87"/>
      <c r="B281" s="88" t="s">
        <v>130</v>
      </c>
      <c r="C281" s="88"/>
      <c r="D281" s="85">
        <f>SUM('Personnel Yr 1'!J34)</f>
        <v>0</v>
      </c>
      <c r="E281" s="85">
        <f>SUM('Personnel Yr 2'!J34)</f>
        <v>0</v>
      </c>
      <c r="F281" s="85">
        <f>SUM('Personnel Yr 3'!J34)</f>
        <v>0</v>
      </c>
      <c r="G281" s="85">
        <f>SUM('Personnel Yr 4'!J34)</f>
        <v>0</v>
      </c>
      <c r="H281" s="85">
        <f>SUM('Personnel Yr 5'!J34)</f>
        <v>0</v>
      </c>
      <c r="I281" s="85">
        <f>SUM(D281:H281)</f>
        <v>0</v>
      </c>
    </row>
    <row r="282" spans="1:9" ht="13.5" thickBot="1" x14ac:dyDescent="0.25">
      <c r="A282" s="92"/>
      <c r="B282" s="182" t="s">
        <v>131</v>
      </c>
      <c r="C282" s="182"/>
      <c r="D282" s="183">
        <f>D281/12</f>
        <v>0</v>
      </c>
      <c r="E282" s="183">
        <f>E281/12</f>
        <v>0</v>
      </c>
      <c r="F282" s="183">
        <f>F281/12</f>
        <v>0</v>
      </c>
      <c r="G282" s="183">
        <f>G281/12</f>
        <v>0</v>
      </c>
      <c r="H282" s="183">
        <f>H281/12</f>
        <v>0</v>
      </c>
      <c r="I282" s="184"/>
    </row>
    <row r="283" spans="1:9" ht="13.5" thickTop="1" x14ac:dyDescent="0.2"/>
  </sheetData>
  <sheetProtection algorithmName="SHA-512" hashValue="ZsNrL3N281DZDaU9JKd/vW+Zq6aLlqUTEHQBEZKqQVOsoMhR6QzYPAfFX/rS5+pMFMjiBA2OmV2BzsqOlTOuOw==" saltValue="SH9Ll5A0k6hbem8/Qzyv6g==" spinCount="100000" sheet="1" objects="1" scenarios="1"/>
  <mergeCells count="115">
    <mergeCell ref="A1:I1"/>
    <mergeCell ref="C2:D2"/>
    <mergeCell ref="A3:B3"/>
    <mergeCell ref="A4:B4"/>
    <mergeCell ref="A5:B5"/>
    <mergeCell ref="A7:B7"/>
    <mergeCell ref="A6:B6"/>
    <mergeCell ref="A12:B12"/>
    <mergeCell ref="A13:B13"/>
    <mergeCell ref="A11:B11"/>
    <mergeCell ref="A9:B9"/>
    <mergeCell ref="A10:B10"/>
    <mergeCell ref="A8:B8"/>
    <mergeCell ref="A15:B15"/>
    <mergeCell ref="A16:B16"/>
    <mergeCell ref="A23:B23"/>
    <mergeCell ref="A30:B30"/>
    <mergeCell ref="A37:B37"/>
    <mergeCell ref="A44:B44"/>
    <mergeCell ref="A51:B51"/>
    <mergeCell ref="A58:B58"/>
    <mergeCell ref="A65:B65"/>
    <mergeCell ref="A73:B73"/>
    <mergeCell ref="A78:B78"/>
    <mergeCell ref="A80:B80"/>
    <mergeCell ref="A74:B74"/>
    <mergeCell ref="A79:B79"/>
    <mergeCell ref="A77:B77"/>
    <mergeCell ref="A81:B81"/>
    <mergeCell ref="A83:B83"/>
    <mergeCell ref="A82:B82"/>
    <mergeCell ref="A75:B75"/>
    <mergeCell ref="A76:B76"/>
    <mergeCell ref="A84:B84"/>
    <mergeCell ref="A86:B86"/>
    <mergeCell ref="A88:B88"/>
    <mergeCell ref="A89:B89"/>
    <mergeCell ref="A90:B90"/>
    <mergeCell ref="A91:B91"/>
    <mergeCell ref="A92:B92"/>
    <mergeCell ref="A94:B94"/>
    <mergeCell ref="A96:B96"/>
    <mergeCell ref="A93:B93"/>
    <mergeCell ref="A98:B98"/>
    <mergeCell ref="A99:B99"/>
    <mergeCell ref="A100:B100"/>
    <mergeCell ref="A102:B102"/>
    <mergeCell ref="A103:B103"/>
    <mergeCell ref="A104:B104"/>
    <mergeCell ref="A105:B105"/>
    <mergeCell ref="A107:B107"/>
    <mergeCell ref="A108:B108"/>
    <mergeCell ref="A109:B109"/>
    <mergeCell ref="A110:B110"/>
    <mergeCell ref="A111:B111"/>
    <mergeCell ref="A112:B112"/>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30:B130"/>
    <mergeCell ref="A131:B131"/>
    <mergeCell ref="A128:B128"/>
    <mergeCell ref="A129:B129"/>
    <mergeCell ref="A143:B143"/>
    <mergeCell ref="A145:B145"/>
    <mergeCell ref="A147:B147"/>
    <mergeCell ref="A148:B148"/>
    <mergeCell ref="A150:B150"/>
    <mergeCell ref="A152:B152"/>
    <mergeCell ref="A132:B132"/>
    <mergeCell ref="A133:B133"/>
    <mergeCell ref="A134:B134"/>
    <mergeCell ref="A135:B135"/>
    <mergeCell ref="A137:B137"/>
    <mergeCell ref="A140:B140"/>
    <mergeCell ref="A141:B141"/>
    <mergeCell ref="B139:C139"/>
    <mergeCell ref="A153:A154"/>
    <mergeCell ref="A155:A156"/>
    <mergeCell ref="A157:A158"/>
    <mergeCell ref="A159:A160"/>
    <mergeCell ref="A161:A162"/>
    <mergeCell ref="A205:B205"/>
    <mergeCell ref="A174:B174"/>
    <mergeCell ref="A176:C176"/>
    <mergeCell ref="A177:B177"/>
    <mergeCell ref="A184:B184"/>
    <mergeCell ref="A191:B191"/>
    <mergeCell ref="A198:B198"/>
    <mergeCell ref="A169:A170"/>
    <mergeCell ref="A171:A172"/>
    <mergeCell ref="A173:B173"/>
    <mergeCell ref="A163:A164"/>
    <mergeCell ref="A165:A166"/>
    <mergeCell ref="A167:A168"/>
    <mergeCell ref="A255:B255"/>
    <mergeCell ref="A262:B262"/>
    <mergeCell ref="A269:B269"/>
    <mergeCell ref="A276:B276"/>
    <mergeCell ref="A233:D233"/>
    <mergeCell ref="A234:B234"/>
    <mergeCell ref="A241:B241"/>
    <mergeCell ref="A248:B248"/>
    <mergeCell ref="A212:B212"/>
    <mergeCell ref="A219:B219"/>
    <mergeCell ref="A226:B226"/>
  </mergeCells>
  <pageMargins left="0.7" right="0.7" top="0.75" bottom="0.75" header="0.3" footer="0.3"/>
  <pageSetup scale="77" orientation="portrait" verticalDpi="1200" r:id="rId1"/>
  <rowBreaks count="4" manualBreakCount="4">
    <brk id="71" max="8" man="1"/>
    <brk id="136" max="16383" man="1"/>
    <brk id="175" max="16383" man="1"/>
    <brk id="23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T11"/>
  <sheetViews>
    <sheetView workbookViewId="0">
      <selection activeCell="C4" sqref="C4"/>
    </sheetView>
  </sheetViews>
  <sheetFormatPr defaultRowHeight="12.75" x14ac:dyDescent="0.2"/>
  <cols>
    <col min="1" max="1" width="4.28515625" bestFit="1" customWidth="1"/>
    <col min="2" max="2" width="10.7109375" customWidth="1"/>
    <col min="3" max="3" width="11" bestFit="1" customWidth="1"/>
    <col min="4" max="4" width="9.28515625" bestFit="1" customWidth="1"/>
    <col min="5" max="5" width="10.42578125" customWidth="1"/>
    <col min="6" max="6" width="4.28515625" bestFit="1" customWidth="1"/>
    <col min="7" max="7" width="29.85546875" bestFit="1" customWidth="1"/>
    <col min="8" max="8" width="21.5703125" bestFit="1" customWidth="1"/>
    <col min="9" max="9" width="9.28515625" bestFit="1" customWidth="1"/>
    <col min="10" max="10" width="29.85546875" bestFit="1" customWidth="1"/>
    <col min="11" max="11" width="21.5703125" bestFit="1" customWidth="1"/>
    <col min="12" max="12" width="10.7109375" bestFit="1" customWidth="1"/>
    <col min="13" max="13" width="14" bestFit="1" customWidth="1"/>
    <col min="15" max="15" width="12" bestFit="1" customWidth="1"/>
    <col min="16" max="16" width="12.140625" bestFit="1" customWidth="1"/>
    <col min="17" max="17" width="14.85546875" bestFit="1" customWidth="1"/>
    <col min="18" max="18" width="14.42578125" bestFit="1" customWidth="1"/>
    <col min="19" max="19" width="25.140625" bestFit="1" customWidth="1"/>
    <col min="20" max="20" width="31.85546875" bestFit="1" customWidth="1"/>
  </cols>
  <sheetData>
    <row r="1" spans="1:20" x14ac:dyDescent="0.2">
      <c r="A1" s="4" t="s">
        <v>98</v>
      </c>
      <c r="B1" s="4" t="s">
        <v>97</v>
      </c>
      <c r="C1" s="4"/>
      <c r="D1" s="53" t="s">
        <v>399</v>
      </c>
      <c r="E1" s="273"/>
      <c r="F1" s="4"/>
      <c r="G1" s="4" t="s">
        <v>241</v>
      </c>
      <c r="H1" s="4"/>
      <c r="I1" s="4" t="s">
        <v>96</v>
      </c>
      <c r="J1" s="4" t="s">
        <v>252</v>
      </c>
      <c r="K1" s="4"/>
      <c r="L1" s="4" t="s">
        <v>251</v>
      </c>
      <c r="M1" s="4" t="s">
        <v>95</v>
      </c>
      <c r="N1" s="4" t="s">
        <v>100</v>
      </c>
      <c r="O1" s="4" t="s">
        <v>102</v>
      </c>
      <c r="Q1" s="4" t="s">
        <v>437</v>
      </c>
      <c r="R1" s="4" t="s">
        <v>440</v>
      </c>
      <c r="S1" s="4" t="s">
        <v>527</v>
      </c>
      <c r="T1" s="4" t="s">
        <v>536</v>
      </c>
    </row>
    <row r="2" spans="1:20" x14ac:dyDescent="0.2">
      <c r="A2" t="s">
        <v>50</v>
      </c>
      <c r="B2" t="s">
        <v>454</v>
      </c>
      <c r="C2" s="273" t="s">
        <v>447</v>
      </c>
      <c r="D2" s="462">
        <v>0.108</v>
      </c>
      <c r="E2" s="273"/>
      <c r="F2" t="s">
        <v>68</v>
      </c>
      <c r="G2" s="273" t="s">
        <v>517</v>
      </c>
      <c r="H2" t="s">
        <v>242</v>
      </c>
      <c r="I2" s="461">
        <v>0.26</v>
      </c>
      <c r="J2" s="273" t="s">
        <v>517</v>
      </c>
      <c r="K2" t="s">
        <v>242</v>
      </c>
      <c r="L2" s="461">
        <v>0.26</v>
      </c>
      <c r="M2" t="s">
        <v>90</v>
      </c>
      <c r="N2">
        <v>1</v>
      </c>
      <c r="O2">
        <v>1872</v>
      </c>
      <c r="P2" s="273" t="s">
        <v>671</v>
      </c>
      <c r="Q2" s="273">
        <v>0</v>
      </c>
      <c r="R2" s="328">
        <v>53760</v>
      </c>
      <c r="S2" s="273" t="s">
        <v>538</v>
      </c>
      <c r="T2" s="273" t="s">
        <v>575</v>
      </c>
    </row>
    <row r="3" spans="1:20" x14ac:dyDescent="0.2">
      <c r="A3" t="s">
        <v>54</v>
      </c>
      <c r="B3" t="s">
        <v>455</v>
      </c>
      <c r="C3" s="273" t="s">
        <v>446</v>
      </c>
      <c r="D3" s="462">
        <v>0.108</v>
      </c>
      <c r="E3" s="273"/>
      <c r="G3" s="273" t="s">
        <v>492</v>
      </c>
      <c r="H3" t="s">
        <v>247</v>
      </c>
      <c r="I3" s="461">
        <v>0.34</v>
      </c>
      <c r="J3" s="273" t="s">
        <v>492</v>
      </c>
      <c r="K3" t="s">
        <v>247</v>
      </c>
      <c r="L3" s="461">
        <v>0.34</v>
      </c>
      <c r="M3" t="s">
        <v>91</v>
      </c>
      <c r="N3">
        <v>2</v>
      </c>
      <c r="P3" s="273"/>
      <c r="Q3" s="328">
        <v>221900</v>
      </c>
      <c r="S3" s="273" t="s">
        <v>529</v>
      </c>
      <c r="T3" s="273" t="s">
        <v>576</v>
      </c>
    </row>
    <row r="4" spans="1:20" x14ac:dyDescent="0.2">
      <c r="B4" t="s">
        <v>43</v>
      </c>
      <c r="C4" t="s">
        <v>231</v>
      </c>
      <c r="D4" s="462">
        <v>0.55000000000000004</v>
      </c>
      <c r="E4" s="273"/>
      <c r="G4" s="273" t="s">
        <v>493</v>
      </c>
      <c r="H4" t="s">
        <v>243</v>
      </c>
      <c r="I4" s="461">
        <v>0.26</v>
      </c>
      <c r="J4" s="273" t="s">
        <v>493</v>
      </c>
      <c r="K4" t="s">
        <v>243</v>
      </c>
      <c r="L4" s="461">
        <v>0.26</v>
      </c>
      <c r="M4" t="s">
        <v>92</v>
      </c>
      <c r="N4">
        <v>3</v>
      </c>
      <c r="P4" s="273"/>
      <c r="S4" s="273" t="s">
        <v>545</v>
      </c>
      <c r="T4" s="273" t="s">
        <v>607</v>
      </c>
    </row>
    <row r="5" spans="1:20" x14ac:dyDescent="0.2">
      <c r="A5" t="s">
        <v>53</v>
      </c>
      <c r="B5" t="s">
        <v>44</v>
      </c>
      <c r="C5" t="s">
        <v>419</v>
      </c>
      <c r="D5" s="462">
        <v>0.128</v>
      </c>
      <c r="E5" s="273" t="s">
        <v>408</v>
      </c>
      <c r="F5" s="401"/>
      <c r="G5" s="24" t="s">
        <v>248</v>
      </c>
      <c r="H5" t="s">
        <v>244</v>
      </c>
      <c r="I5" s="461">
        <v>0.35</v>
      </c>
      <c r="J5" s="24" t="s">
        <v>248</v>
      </c>
      <c r="K5" t="s">
        <v>244</v>
      </c>
      <c r="L5" s="461">
        <v>0.35</v>
      </c>
      <c r="M5" t="s">
        <v>674</v>
      </c>
      <c r="N5">
        <v>4</v>
      </c>
      <c r="P5" s="273"/>
      <c r="S5" s="273" t="s">
        <v>584</v>
      </c>
      <c r="T5" s="273" t="s">
        <v>608</v>
      </c>
    </row>
    <row r="6" spans="1:20" x14ac:dyDescent="0.2">
      <c r="A6" t="s">
        <v>52</v>
      </c>
      <c r="C6" t="s">
        <v>66</v>
      </c>
      <c r="D6" s="462">
        <v>0.29499999999999998</v>
      </c>
      <c r="E6" s="273" t="s">
        <v>661</v>
      </c>
      <c r="F6" s="402"/>
      <c r="G6" s="24" t="s">
        <v>249</v>
      </c>
      <c r="H6" t="s">
        <v>245</v>
      </c>
      <c r="I6" s="461">
        <v>0.26</v>
      </c>
      <c r="J6" s="24" t="s">
        <v>249</v>
      </c>
      <c r="K6" t="s">
        <v>245</v>
      </c>
      <c r="L6" s="461">
        <v>0.26</v>
      </c>
      <c r="N6">
        <v>5</v>
      </c>
      <c r="S6" s="273" t="s">
        <v>578</v>
      </c>
      <c r="T6" s="273" t="s">
        <v>644</v>
      </c>
    </row>
    <row r="7" spans="1:20" x14ac:dyDescent="0.2">
      <c r="A7" t="s">
        <v>51</v>
      </c>
      <c r="C7" t="s">
        <v>65</v>
      </c>
      <c r="D7" s="462">
        <v>0.158</v>
      </c>
      <c r="E7" s="273"/>
      <c r="F7" s="402"/>
      <c r="G7" s="24" t="s">
        <v>250</v>
      </c>
      <c r="H7" t="s">
        <v>246</v>
      </c>
      <c r="I7" s="461">
        <v>0.495</v>
      </c>
      <c r="J7" s="24" t="s">
        <v>250</v>
      </c>
      <c r="K7" t="s">
        <v>246</v>
      </c>
      <c r="L7" s="461">
        <v>0.495</v>
      </c>
      <c r="S7" s="273" t="s">
        <v>583</v>
      </c>
      <c r="T7" s="273" t="s">
        <v>645</v>
      </c>
    </row>
    <row r="8" spans="1:20" x14ac:dyDescent="0.2">
      <c r="C8" t="s">
        <v>67</v>
      </c>
      <c r="D8" s="462">
        <v>7.9000000000000001E-2</v>
      </c>
      <c r="E8" s="273" t="s">
        <v>660</v>
      </c>
      <c r="F8" s="402"/>
      <c r="S8" s="273" t="s">
        <v>537</v>
      </c>
    </row>
    <row r="9" spans="1:20" x14ac:dyDescent="0.2">
      <c r="C9" s="273"/>
      <c r="D9" s="19"/>
      <c r="E9" s="19"/>
      <c r="S9" s="273" t="s">
        <v>445</v>
      </c>
    </row>
    <row r="10" spans="1:20" x14ac:dyDescent="0.2">
      <c r="S10" s="273" t="s">
        <v>407</v>
      </c>
    </row>
    <row r="11" spans="1:20" x14ac:dyDescent="0.2">
      <c r="D11" s="19"/>
      <c r="E11" s="19"/>
      <c r="S11" s="273" t="s">
        <v>408</v>
      </c>
    </row>
  </sheetData>
  <phoneticPr fontId="5"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40"/>
  <sheetViews>
    <sheetView workbookViewId="0">
      <selection sqref="A1:I1"/>
    </sheetView>
  </sheetViews>
  <sheetFormatPr defaultColWidth="8.85546875" defaultRowHeight="12.75" x14ac:dyDescent="0.2"/>
  <cols>
    <col min="1" max="1" width="7.7109375" style="298" customWidth="1"/>
    <col min="2" max="2" width="12.7109375" style="298" customWidth="1"/>
    <col min="3" max="3" width="15.5703125" style="298" customWidth="1"/>
    <col min="4" max="9" width="11" style="298" customWidth="1"/>
    <col min="10" max="10" width="9.140625" style="298" bestFit="1" customWidth="1"/>
    <col min="11" max="18" width="8.85546875" style="298"/>
    <col min="19" max="20" width="8.85546875" style="343"/>
    <col min="21" max="44" width="8.85546875" style="344"/>
    <col min="45" max="16384" width="8.85546875" style="298"/>
  </cols>
  <sheetData>
    <row r="1" spans="1:34" ht="18" x14ac:dyDescent="0.2">
      <c r="A1" s="769" t="s">
        <v>435</v>
      </c>
      <c r="B1" s="769"/>
      <c r="C1" s="769"/>
      <c r="D1" s="769"/>
      <c r="E1" s="769"/>
      <c r="F1" s="769"/>
      <c r="G1" s="769"/>
      <c r="H1" s="769"/>
      <c r="I1" s="769"/>
      <c r="S1" s="298"/>
      <c r="T1" s="298"/>
    </row>
    <row r="2" spans="1:34" ht="14.45" customHeight="1" x14ac:dyDescent="0.25">
      <c r="A2" s="770" t="s">
        <v>116</v>
      </c>
      <c r="B2" s="770"/>
      <c r="C2" s="770" t="str">
        <f>CONCATENATE('Personnel Yr 1'!B7, IF(OR(ISBLANK('Personnel Yr 1'!B7),'Personnel Yr 1'!B7=""),""," "),'Personnel Yr 1'!C7, " ",'Personnel Yr 1'!D7,IF(OR(ISBLANK('Personnel Yr 1'!D7),'Personnel Yr 1'!D7=""),""," "),'Personnel Yr 1'!E7," ",'Personnel Yr 1'!F7)</f>
        <v xml:space="preserve">  </v>
      </c>
      <c r="D2" s="770"/>
      <c r="E2" s="314" t="s">
        <v>203</v>
      </c>
      <c r="F2" s="314">
        <f>'Personnel Yr 1'!O4</f>
        <v>0</v>
      </c>
      <c r="H2" s="307" t="s">
        <v>94</v>
      </c>
      <c r="I2" s="320">
        <f>'Personnel Yr 1'!I5</f>
        <v>0</v>
      </c>
      <c r="K2" s="345" t="s">
        <v>443</v>
      </c>
      <c r="S2" s="298"/>
      <c r="T2" s="298"/>
      <c r="U2" s="344" t="s">
        <v>441</v>
      </c>
      <c r="AB2" s="344" t="s">
        <v>442</v>
      </c>
    </row>
    <row r="3" spans="1:34" ht="14.45" customHeight="1" thickBot="1" x14ac:dyDescent="0.25">
      <c r="A3" s="318"/>
      <c r="D3" s="303"/>
      <c r="F3" s="319"/>
      <c r="K3" s="764" t="str">
        <f>IF(OR(D7&gt;250000,E7&gt;250000,F7&gt;250000,G7&gt;250000,H7&gt;250000),"- Direct Costs less Consortium is over $250,000 in one or more years.","")</f>
        <v/>
      </c>
      <c r="L3" s="764"/>
      <c r="M3" s="764"/>
      <c r="N3" s="764"/>
      <c r="O3" s="764"/>
      <c r="P3" s="764"/>
      <c r="Q3" s="764"/>
      <c r="R3" s="764"/>
      <c r="S3" s="298"/>
      <c r="T3" s="298"/>
      <c r="U3" s="344" t="s">
        <v>32</v>
      </c>
      <c r="V3" s="344" t="s">
        <v>33</v>
      </c>
      <c r="W3" s="344" t="s">
        <v>34</v>
      </c>
      <c r="X3" s="344" t="s">
        <v>35</v>
      </c>
      <c r="Y3" s="344" t="s">
        <v>36</v>
      </c>
      <c r="AB3" s="344" t="s">
        <v>32</v>
      </c>
      <c r="AC3" s="344" t="s">
        <v>33</v>
      </c>
      <c r="AD3" s="344" t="s">
        <v>34</v>
      </c>
      <c r="AE3" s="344" t="s">
        <v>35</v>
      </c>
      <c r="AF3" s="344" t="s">
        <v>36</v>
      </c>
    </row>
    <row r="4" spans="1:34" ht="14.45" customHeight="1" thickBot="1" x14ac:dyDescent="0.25">
      <c r="A4" s="318"/>
      <c r="C4" s="302" t="s">
        <v>434</v>
      </c>
      <c r="D4" s="317">
        <f>D7/25000</f>
        <v>0</v>
      </c>
      <c r="E4" s="317">
        <f>IF('Personnel Yr 1'!K5&gt;1,E7/25000,0)</f>
        <v>0</v>
      </c>
      <c r="F4" s="317">
        <f>IF('Personnel Yr 1'!K5&gt;2,F7/25000,0)</f>
        <v>0</v>
      </c>
      <c r="G4" s="317">
        <f>IF('Personnel Yr 1'!K5&gt;3,G7/25000,0)</f>
        <v>0</v>
      </c>
      <c r="H4" s="317">
        <f>IF('Personnel Yr 1'!K5&gt;4,H7/25000,0)</f>
        <v>0</v>
      </c>
      <c r="I4" s="315">
        <f>SUM(D4:H4)</f>
        <v>0</v>
      </c>
      <c r="K4" s="763" t="str">
        <f>IF(COUNTIF(AG4:AG26,TRUE),"- An investigator has a base salary over $" &amp; NIHSalaryCap &amp; " for calandar appointments or $" &amp; ROUND((NIHSalaryCap*8.5)/12,0) &amp; " for academic appointments.","")</f>
        <v/>
      </c>
      <c r="L4" s="763"/>
      <c r="M4" s="763"/>
      <c r="N4" s="763"/>
      <c r="O4" s="763"/>
      <c r="P4" s="763"/>
      <c r="Q4" s="763"/>
      <c r="R4" s="763"/>
      <c r="S4" s="298"/>
      <c r="T4" s="298"/>
      <c r="U4" s="344" t="b">
        <f>IF('Personnel Yr 1'!$O$5="Federal - NIH",SUM('Non-personnel'!$H$41,'Personnel Yr 1'!$O$43)/IF(OR(ISBLANK('Personnel Yr 1'!$B$43),NOT(ISNUMBER('Personnel Yr 1'!$B$43))),1,'Personnel Yr 1'!$B$43)&gt;NIHGradLimit)</f>
        <v>0</v>
      </c>
      <c r="V4" s="344" t="b">
        <f>IF('Personnel Yr 1'!$O$5="Federal - NIH",SUM('Non-personnel'!$H$41,'Personnel Yr 2'!O43)/IF(OR(ISBLANK('Personnel Yr 2'!B43),NOT(ISNUMBER('Personnel Yr 2'!B43))),1,'Personnel Yr 2'!B43)&gt;NIHGradLimit)</f>
        <v>0</v>
      </c>
      <c r="W4" s="346" t="b">
        <f>IF('Personnel Yr 1'!O5="Federal - NIH",SUM('Non-personnel'!$L$41,'Personnel Yr 3'!O43)/IF(OR(ISBLANK('Personnel Yr 3'!B43),NOT(ISNUMBER('Personnel Yr 3'!B43))),1,'Personnel Yr 3'!B43)&gt;NIHGradLimit)</f>
        <v>0</v>
      </c>
      <c r="X4" s="346" t="b">
        <f>IF('Personnel Yr 1'!O5="Federal - NIH",SUM('Non-personnel'!$N$41,'Personnel Yr 4'!O41)/IF(OR(ISBLANK('Personnel Yr 4'!B41),NOT(ISNUMBER('Personnel Yr 4'!B41))),1,'Personnel Yr 4'!B41)&gt;NIHGradLimit)</f>
        <v>0</v>
      </c>
      <c r="Y4" s="346" t="b">
        <f>IF('Personnel Yr 1'!O5="Federal - NIH",SUM('Non-personnel'!$P$41,'Personnel Yr 5'!O41)/IF(OR(ISBLANK('Personnel Yr 5'!B41),NOT(ISNUMBER('Personnel Yr 5'!B41))),1,'Personnel Yr 5'!B41)&gt;NIHGradLimit)</f>
        <v>0</v>
      </c>
      <c r="Z4" s="346" t="str">
        <f>IF(COUNTIF(U4:Y4,TRUE)&gt;0,"Bad","Good")</f>
        <v>Good</v>
      </c>
      <c r="AA4" s="346"/>
      <c r="AB4" s="344" t="b">
        <f>IF(OR('Personnel Yr 1'!$O$5&lt;&gt;"Federal - NIH",OR(AND(ISBLANK('Personnel Yr 1'!J7),ISBLANK('Personnel Yr 1'!K7),ISBLANK('Personnel Yr 1'!L7)),AND('Personnel Yr 1'!J7="",'Personnel Yr 1'!K7="",'Personnel Yr 1'!L7=""))),FALSE,IF('Personnel Yr 1'!J7&gt;0,'Personnel Yr 1'!I7&gt;NIHSalaryCap,'Personnel Yr 1'!I7&gt;(NIHSalaryCap*8.5)/12))</f>
        <v>0</v>
      </c>
      <c r="AC4" s="344" t="b">
        <f>IF('Personnel Yr 1'!$K$5&gt;1,IF(OR('Personnel Yr 1'!$O$5&lt;&gt;"Federal - NIH",OR(AND(ISBLANK('Personnel Yr 2'!J7),ISBLANK('Personnel Yr 2'!K7),ISBLANK('Personnel Yr 2'!L7)),AND('Personnel Yr 2'!J7="",'Personnel Yr 2'!K7="",'Personnel Yr 2'!L7=""))),FALSE,IF('Personnel Yr 2'!J7&gt;0,'Personnel Yr 2'!I7&gt;NIHSalaryCap,'Personnel Yr 2'!I7&gt;(NIHSalaryCap*8.5)/12)),FALSE)</f>
        <v>0</v>
      </c>
      <c r="AD4" s="344" t="b">
        <f>'Personnel Yr 3'!Z7</f>
        <v>0</v>
      </c>
      <c r="AE4" s="344" t="b">
        <f>'Personnel Yr 4'!Z7</f>
        <v>0</v>
      </c>
      <c r="AF4" s="344" t="b">
        <f>'Personnel Yr 5'!Z7</f>
        <v>0</v>
      </c>
      <c r="AG4" s="344" t="b">
        <f>COUNTIF(AB4:AF4,TRUE)&gt;0</f>
        <v>0</v>
      </c>
      <c r="AH4" s="344" t="str">
        <f>IF(COUNTIF(AG4:AG26,TRUE),"An investigator has a base salary over$" &amp; NIHSalaryCap &amp; " for calandar appointments or $" &amp; ROUND((NIHSalaryCap*8.5)/12,0) &amp; " for academic appointments.","")</f>
        <v/>
      </c>
    </row>
    <row r="5" spans="1:34" ht="14.45" customHeight="1" thickBot="1" x14ac:dyDescent="0.25">
      <c r="B5" s="314"/>
      <c r="C5" s="302"/>
      <c r="D5" s="307" t="s">
        <v>32</v>
      </c>
      <c r="E5" s="307" t="s">
        <v>33</v>
      </c>
      <c r="F5" s="307" t="s">
        <v>34</v>
      </c>
      <c r="G5" s="307" t="s">
        <v>35</v>
      </c>
      <c r="H5" s="307" t="s">
        <v>36</v>
      </c>
      <c r="I5" s="307" t="s">
        <v>37</v>
      </c>
      <c r="K5" s="763"/>
      <c r="L5" s="763"/>
      <c r="M5" s="763"/>
      <c r="N5" s="763"/>
      <c r="O5" s="763"/>
      <c r="P5" s="763"/>
      <c r="Q5" s="763"/>
      <c r="R5" s="763"/>
      <c r="S5" s="298"/>
      <c r="T5" s="298"/>
      <c r="W5" s="346"/>
      <c r="X5" s="346"/>
      <c r="Y5" s="346"/>
      <c r="Z5" s="346"/>
      <c r="AA5" s="346"/>
      <c r="AB5" s="344" t="b">
        <f>IF(OR('Personnel Yr 1'!$O$5&lt;&gt;"Federal - NIH",OR(AND(ISBLANK('Personnel Yr 1'!J8),ISBLANK('Personnel Yr 1'!K8),ISBLANK('Personnel Yr 1'!L8)),AND('Personnel Yr 1'!J8="",'Personnel Yr 1'!K8="",'Personnel Yr 1'!L8=""))),FALSE,IF('Personnel Yr 1'!J8&gt;0,'Personnel Yr 1'!I8&gt;NIHSalaryCap,'Personnel Yr 1'!I8&gt;(NIHSalaryCap*8.5)/12))</f>
        <v>0</v>
      </c>
      <c r="AC5" s="344" t="b">
        <f>IF('Personnel Yr 1'!$K$5&gt;1,IF(OR('Personnel Yr 1'!$O$5&lt;&gt;"Federal - NIH",OR(AND(ISBLANK('Personnel Yr 2'!J8),ISBLANK('Personnel Yr 2'!K8),ISBLANK('Personnel Yr 2'!L8)),AND('Personnel Yr 2'!J8="",'Personnel Yr 2'!K8="",'Personnel Yr 2'!L8=""))),FALSE,IF('Personnel Yr 2'!J8&gt;0,'Personnel Yr 2'!I8&gt;NIHSalaryCap,'Personnel Yr 2'!I8&gt;(NIHSalaryCap*8.5)/12)),FALSE)</f>
        <v>0</v>
      </c>
      <c r="AD5" s="344" t="b">
        <f>'Personnel Yr 3'!Z8</f>
        <v>0</v>
      </c>
      <c r="AE5" s="344" t="b">
        <f>'Personnel Yr 4'!Z8</f>
        <v>0</v>
      </c>
      <c r="AF5" s="344" t="b">
        <f>'Personnel Yr 5'!Z8</f>
        <v>0</v>
      </c>
      <c r="AG5" s="344" t="b">
        <f>COUNTIF(AB5:AF5,TRUE)&gt;0</f>
        <v>0</v>
      </c>
    </row>
    <row r="6" spans="1:34" ht="14.45" customHeight="1" x14ac:dyDescent="0.2">
      <c r="A6" s="307" t="s">
        <v>433</v>
      </c>
      <c r="B6" s="314"/>
      <c r="C6" s="302"/>
      <c r="D6" s="771" t="s">
        <v>425</v>
      </c>
      <c r="E6" s="772"/>
      <c r="F6" s="772"/>
      <c r="G6" s="772"/>
      <c r="H6" s="772"/>
      <c r="I6" s="773"/>
      <c r="K6" s="765" t="str">
        <f>IF(COUNTIF(U4:Y4,TRUE)&gt;0,"- Graduate Student Compensation potentially exceeds NIH cap of $"  &amp; NIHGradLimit &amp; "/student.  Please note: NIH Graduate Student Componsation Cap equals Salary + Fringe Benefits + any Tuition Needs requested.","")</f>
        <v/>
      </c>
      <c r="L6" s="765"/>
      <c r="M6" s="765"/>
      <c r="N6" s="765"/>
      <c r="O6" s="765"/>
      <c r="P6" s="765"/>
      <c r="Q6" s="765"/>
      <c r="R6" s="765"/>
      <c r="S6" s="298"/>
      <c r="T6" s="298"/>
      <c r="W6" s="346"/>
      <c r="X6" s="346"/>
      <c r="Y6" s="346"/>
      <c r="Z6" s="346"/>
      <c r="AA6" s="346"/>
      <c r="AB6" s="344" t="b">
        <f>IF(OR('Personnel Yr 1'!$O$5&lt;&gt;"Federal - NIH",OR(AND(ISBLANK('Personnel Yr 1'!J9),ISBLANK('Personnel Yr 1'!K9),ISBLANK('Personnel Yr 1'!L9)),AND('Personnel Yr 1'!J9="",'Personnel Yr 1'!K9="",'Personnel Yr 1'!L9=""))),FALSE,IF('Personnel Yr 1'!J9&gt;0,'Personnel Yr 1'!I9&gt;NIHSalaryCap,'Personnel Yr 1'!I9&gt;(NIHSalaryCap*8.5)/12))</f>
        <v>0</v>
      </c>
      <c r="AC6" s="344" t="b">
        <f>IF('Personnel Yr 1'!$K$5&gt;1,IF(OR('Personnel Yr 1'!$O$5&lt;&gt;"Federal - NIH",OR(AND(ISBLANK('Personnel Yr 2'!J9),ISBLANK('Personnel Yr 2'!K9),ISBLANK('Personnel Yr 2'!L9)),AND('Personnel Yr 2'!J9="",'Personnel Yr 2'!K9="",'Personnel Yr 2'!L9=""))),FALSE,IF('Personnel Yr 2'!J9&gt;0,'Personnel Yr 2'!I9&gt;NIHSalaryCap,'Personnel Yr 2'!I9&gt;(NIHSalaryCap*8.5)/12)),FALSE)</f>
        <v>0</v>
      </c>
      <c r="AD6" s="344" t="b">
        <f>'Personnel Yr 3'!Z9</f>
        <v>0</v>
      </c>
      <c r="AE6" s="344" t="b">
        <f>'Personnel Yr 4'!Z9</f>
        <v>0</v>
      </c>
      <c r="AF6" s="344" t="b">
        <f>'Personnel Yr 5'!Z9</f>
        <v>0</v>
      </c>
      <c r="AG6" s="344" t="b">
        <f t="shared" ref="AG6:AG26" si="0">COUNTIF(AB6:AF6,TRUE)&gt;0</f>
        <v>0</v>
      </c>
    </row>
    <row r="7" spans="1:34" ht="14.45" customHeight="1" x14ac:dyDescent="0.2">
      <c r="C7" s="302" t="s">
        <v>432</v>
      </c>
      <c r="D7" s="310">
        <f>ROUND((('Non-personnel'!R52-'Non-personnel'!S90)/IF('Personnel Yr 1'!K5=0,1,'Personnel Yr 1'!K5))/25000,0)*25000</f>
        <v>0</v>
      </c>
      <c r="E7" s="309">
        <f>IF('Personnel Yr 1'!K5&gt;1,(ROUND((('Non-personnel'!R52-'Non-personnel'!S90)/'Personnel Yr 1'!K5)/25000,0)*25000),0)</f>
        <v>0</v>
      </c>
      <c r="F7" s="309">
        <f>IF('Personnel Yr 1'!K5&gt;2,(ROUND((('Non-personnel'!R52-'Non-personnel'!S90)/'Personnel Yr 1'!K5)/25000,0)*25000),0)</f>
        <v>0</v>
      </c>
      <c r="G7" s="309">
        <f>IF('Personnel Yr 1'!K5&gt;3,(ROUND((('Non-personnel'!R52-'Non-personnel'!S90)/'Personnel Yr 1'!K5)/25000,0)*25000),0)</f>
        <v>0</v>
      </c>
      <c r="H7" s="309">
        <f>IF('Personnel Yr 1'!K5&gt;4,(ROUND((('Non-personnel'!R52-'Non-personnel'!S90)/'Personnel Yr 1'!K5)/25000,0)*25000),0)</f>
        <v>0</v>
      </c>
      <c r="I7" s="308">
        <f>SUM(D7:H7)</f>
        <v>0</v>
      </c>
      <c r="J7" s="303"/>
      <c r="K7" s="765"/>
      <c r="L7" s="765"/>
      <c r="M7" s="765"/>
      <c r="N7" s="765"/>
      <c r="O7" s="765"/>
      <c r="P7" s="765"/>
      <c r="Q7" s="765"/>
      <c r="R7" s="765"/>
      <c r="S7" s="298"/>
      <c r="T7" s="298"/>
      <c r="W7" s="346"/>
      <c r="X7" s="346"/>
      <c r="Y7" s="346"/>
      <c r="Z7" s="346"/>
      <c r="AA7" s="346"/>
      <c r="AB7" s="344" t="b">
        <f>IF(OR('Personnel Yr 1'!$O$5&lt;&gt;"Federal - NIH",OR(AND(ISBLANK('Personnel Yr 1'!J10),ISBLANK('Personnel Yr 1'!K10),ISBLANK('Personnel Yr 1'!L10)),AND('Personnel Yr 1'!J10="",'Personnel Yr 1'!K10="",'Personnel Yr 1'!L10=""))),FALSE,IF('Personnel Yr 1'!J10&gt;0,'Personnel Yr 1'!I10&gt;NIHSalaryCap,'Personnel Yr 1'!I10&gt;(NIHSalaryCap*8.5)/12))</f>
        <v>0</v>
      </c>
      <c r="AC7" s="344" t="b">
        <f>IF('Personnel Yr 1'!$K$5&gt;1,IF(OR('Personnel Yr 1'!$O$5&lt;&gt;"Federal - NIH",OR(AND(ISBLANK('Personnel Yr 2'!J10),ISBLANK('Personnel Yr 2'!K10),ISBLANK('Personnel Yr 2'!L10)),AND('Personnel Yr 2'!J10="",'Personnel Yr 2'!K10="",'Personnel Yr 2'!L10=""))),FALSE,IF('Personnel Yr 2'!J10&gt;0,'Personnel Yr 2'!I10&gt;NIHSalaryCap,'Personnel Yr 2'!I10&gt;(NIHSalaryCap*8.5)/12)),FALSE)</f>
        <v>0</v>
      </c>
      <c r="AD7" s="344" t="b">
        <f>'Personnel Yr 3'!Z10</f>
        <v>0</v>
      </c>
      <c r="AE7" s="344" t="b">
        <f>'Personnel Yr 4'!Z10</f>
        <v>0</v>
      </c>
      <c r="AF7" s="344" t="b">
        <f>'Personnel Yr 5'!Z10</f>
        <v>0</v>
      </c>
      <c r="AG7" s="344" t="b">
        <f t="shared" si="0"/>
        <v>0</v>
      </c>
    </row>
    <row r="8" spans="1:34" ht="14.45" customHeight="1" x14ac:dyDescent="0.2">
      <c r="C8" s="302" t="s">
        <v>431</v>
      </c>
      <c r="D8" s="310">
        <f>'Non-personnel'!I90</f>
        <v>0</v>
      </c>
      <c r="E8" s="309">
        <f>'Non-personnel'!K90</f>
        <v>0</v>
      </c>
      <c r="F8" s="309">
        <f>'Non-personnel'!M90</f>
        <v>0</v>
      </c>
      <c r="G8" s="309">
        <f>'Non-personnel'!O90</f>
        <v>0</v>
      </c>
      <c r="H8" s="309">
        <f>'Non-personnel'!Q90</f>
        <v>0</v>
      </c>
      <c r="I8" s="308">
        <f>SUM(D8:H8)</f>
        <v>0</v>
      </c>
      <c r="K8" s="765"/>
      <c r="L8" s="765"/>
      <c r="M8" s="765"/>
      <c r="N8" s="765"/>
      <c r="O8" s="765"/>
      <c r="P8" s="765"/>
      <c r="Q8" s="765"/>
      <c r="R8" s="765"/>
      <c r="S8" s="298"/>
      <c r="T8" s="298"/>
      <c r="W8" s="346"/>
      <c r="X8" s="346"/>
      <c r="Y8" s="346"/>
      <c r="Z8" s="346"/>
      <c r="AA8" s="346"/>
      <c r="AB8" s="344" t="b">
        <f>IF(OR('Personnel Yr 1'!$O$5&lt;&gt;"Federal - NIH",OR(AND(ISBLANK('Personnel Yr 1'!J11),ISBLANK('Personnel Yr 1'!K11),ISBLANK('Personnel Yr 1'!L11)),AND('Personnel Yr 1'!J11="",'Personnel Yr 1'!K11="",'Personnel Yr 1'!L11=""))),FALSE,IF('Personnel Yr 1'!J11&gt;0,'Personnel Yr 1'!I11&gt;NIHSalaryCap,'Personnel Yr 1'!I11&gt;(NIHSalaryCap*8.5)/12))</f>
        <v>0</v>
      </c>
      <c r="AC8" s="344" t="b">
        <f>IF('Personnel Yr 1'!$K$5&gt;1,IF(OR('Personnel Yr 1'!$O$5&lt;&gt;"Federal - NIH",OR(AND(ISBLANK('Personnel Yr 2'!J11),ISBLANK('Personnel Yr 2'!K11),ISBLANK('Personnel Yr 2'!L11)),AND('Personnel Yr 2'!J11="",'Personnel Yr 2'!K11="",'Personnel Yr 2'!L11=""))),FALSE,IF('Personnel Yr 2'!J11&gt;0,'Personnel Yr 2'!I11&gt;NIHSalaryCap,'Personnel Yr 2'!I11&gt;(NIHSalaryCap*8.5)/12)),FALSE)</f>
        <v>0</v>
      </c>
      <c r="AD8" s="344" t="b">
        <f>'Personnel Yr 3'!Z11</f>
        <v>0</v>
      </c>
      <c r="AE8" s="344" t="b">
        <f>'Personnel Yr 4'!Z11</f>
        <v>0</v>
      </c>
      <c r="AF8" s="344" t="b">
        <f>'Personnel Yr 5'!Z11</f>
        <v>0</v>
      </c>
      <c r="AG8" s="344" t="b">
        <f t="shared" si="0"/>
        <v>0</v>
      </c>
    </row>
    <row r="9" spans="1:34" ht="14.45" customHeight="1" x14ac:dyDescent="0.2">
      <c r="C9" s="302" t="s">
        <v>430</v>
      </c>
      <c r="D9" s="310">
        <f>SUM(D7:D8)</f>
        <v>0</v>
      </c>
      <c r="E9" s="309">
        <f>SUM(E7:E8)</f>
        <v>0</v>
      </c>
      <c r="F9" s="309">
        <f>SUM(F7:F8)</f>
        <v>0</v>
      </c>
      <c r="G9" s="309">
        <f>SUM(G7:G8)</f>
        <v>0</v>
      </c>
      <c r="H9" s="309">
        <f>SUM(H7:H8)</f>
        <v>0</v>
      </c>
      <c r="I9" s="308">
        <f>SUM(D9:H9)</f>
        <v>0</v>
      </c>
      <c r="S9" s="298"/>
      <c r="T9" s="298"/>
      <c r="W9" s="346"/>
      <c r="X9" s="346"/>
      <c r="Y9" s="346"/>
      <c r="Z9" s="346"/>
      <c r="AA9" s="346"/>
      <c r="AB9" s="344" t="b">
        <f>IF(OR('Personnel Yr 1'!$O$5&lt;&gt;"Federal - NIH",OR(AND(ISBLANK('Personnel Yr 1'!J12),ISBLANK('Personnel Yr 1'!K12),ISBLANK('Personnel Yr 1'!L12)),AND('Personnel Yr 1'!J12="",'Personnel Yr 1'!K12="",'Personnel Yr 1'!L12=""))),FALSE,IF('Personnel Yr 1'!J12&gt;0,'Personnel Yr 1'!I12&gt;NIHSalaryCap,'Personnel Yr 1'!I12&gt;(NIHSalaryCap*8.5)/12))</f>
        <v>0</v>
      </c>
      <c r="AC9" s="344" t="b">
        <f>IF('Personnel Yr 1'!$K$5&gt;1,IF(OR('Personnel Yr 1'!$O$5&lt;&gt;"Federal - NIH",OR(AND(ISBLANK('Personnel Yr 2'!J12),ISBLANK('Personnel Yr 2'!K12),ISBLANK('Personnel Yr 2'!L12)),AND('Personnel Yr 2'!J12="",'Personnel Yr 2'!K12="",'Personnel Yr 2'!L12=""))),FALSE,IF('Personnel Yr 2'!J12&gt;0,'Personnel Yr 2'!I12&gt;NIHSalaryCap,'Personnel Yr 2'!I12&gt;(NIHSalaryCap*8.5)/12)),FALSE)</f>
        <v>0</v>
      </c>
      <c r="AD9" s="344" t="b">
        <f>'Personnel Yr 3'!Z12</f>
        <v>0</v>
      </c>
      <c r="AE9" s="344" t="b">
        <f>'Personnel Yr 4'!Z12</f>
        <v>0</v>
      </c>
      <c r="AF9" s="344" t="b">
        <f>'Personnel Yr 5'!Z12</f>
        <v>0</v>
      </c>
      <c r="AG9" s="344" t="b">
        <f t="shared" si="0"/>
        <v>0</v>
      </c>
    </row>
    <row r="10" spans="1:34" ht="14.45" customHeight="1" x14ac:dyDescent="0.2">
      <c r="A10" s="307" t="s">
        <v>429</v>
      </c>
      <c r="C10" s="302"/>
      <c r="D10" s="310"/>
      <c r="E10" s="309"/>
      <c r="F10" s="309"/>
      <c r="G10" s="309"/>
      <c r="H10" s="309"/>
      <c r="I10" s="308"/>
      <c r="S10" s="298"/>
      <c r="T10" s="298"/>
      <c r="W10" s="346"/>
      <c r="X10" s="346"/>
      <c r="Y10" s="346"/>
      <c r="Z10" s="346"/>
      <c r="AA10" s="346"/>
      <c r="AB10" s="344" t="b">
        <f>IF(OR('Personnel Yr 1'!$O$5&lt;&gt;"Federal - NIH",OR(AND(ISBLANK('Personnel Yr 1'!J13),ISBLANK('Personnel Yr 1'!K13),ISBLANK('Personnel Yr 1'!L13)),AND('Personnel Yr 1'!J13="",'Personnel Yr 1'!K13="",'Personnel Yr 1'!L13=""))),FALSE,IF('Personnel Yr 1'!J13&gt;0,'Personnel Yr 1'!I13&gt;NIHSalaryCap,'Personnel Yr 1'!I13&gt;(NIHSalaryCap*8.5)/12))</f>
        <v>0</v>
      </c>
      <c r="AC10" s="344" t="b">
        <f>IF('Personnel Yr 1'!$K$5&gt;1,IF(OR('Personnel Yr 1'!$O$5&lt;&gt;"Federal - NIH",OR(AND(ISBLANK('Personnel Yr 2'!J13),ISBLANK('Personnel Yr 2'!K13),ISBLANK('Personnel Yr 2'!L13)),AND('Personnel Yr 2'!J13="",'Personnel Yr 2'!K13="",'Personnel Yr 2'!L13=""))),FALSE,IF('Personnel Yr 2'!J13&gt;0,'Personnel Yr 2'!I13&gt;NIHSalaryCap,'Personnel Yr 2'!I13&gt;(NIHSalaryCap*8.5)/12)),FALSE)</f>
        <v>0</v>
      </c>
      <c r="AD10" s="344" t="b">
        <f>'Personnel Yr 3'!Z13</f>
        <v>0</v>
      </c>
      <c r="AE10" s="344" t="b">
        <f>'Personnel Yr 4'!Z13</f>
        <v>0</v>
      </c>
      <c r="AF10" s="344" t="b">
        <f>'Personnel Yr 5'!Z13</f>
        <v>0</v>
      </c>
      <c r="AG10" s="344" t="b">
        <f t="shared" si="0"/>
        <v>0</v>
      </c>
    </row>
    <row r="11" spans="1:34" ht="14.45" customHeight="1" x14ac:dyDescent="0.2">
      <c r="C11" s="302" t="s">
        <v>428</v>
      </c>
      <c r="D11" s="310" t="str">
        <f>'Non-personnel'!B57</f>
        <v>MTDC-Fed</v>
      </c>
      <c r="E11" s="309" t="str">
        <f>'Non-personnel'!B58</f>
        <v>MTDC-Fed</v>
      </c>
      <c r="F11" s="309" t="str">
        <f>'Non-personnel'!B59</f>
        <v>MTDC-Fed</v>
      </c>
      <c r="G11" s="309" t="str">
        <f>'Non-personnel'!B60</f>
        <v>MTDC-Fed</v>
      </c>
      <c r="H11" s="309" t="str">
        <f>'Non-personnel'!B61</f>
        <v>MTDC-Fed</v>
      </c>
      <c r="I11" s="308"/>
      <c r="S11" s="298"/>
      <c r="T11" s="298"/>
      <c r="W11" s="346"/>
      <c r="X11" s="346"/>
      <c r="Y11" s="346"/>
      <c r="Z11" s="346"/>
      <c r="AA11" s="346"/>
      <c r="AB11" s="344" t="b">
        <f>IF(OR('Personnel Yr 1'!$O$5&lt;&gt;"Federal - NIH",OR(AND(ISBLANK('Personnel Yr 1'!J14),ISBLANK('Personnel Yr 1'!K14),ISBLANK('Personnel Yr 1'!L14)),AND('Personnel Yr 1'!J14="",'Personnel Yr 1'!K14="",'Personnel Yr 1'!L14=""))),FALSE,IF('Personnel Yr 1'!J14&gt;0,'Personnel Yr 1'!I14&gt;NIHSalaryCap,'Personnel Yr 1'!I14&gt;(NIHSalaryCap*8.5)/12))</f>
        <v>0</v>
      </c>
      <c r="AC11" s="344" t="b">
        <f>IF('Personnel Yr 1'!$K$5&gt;1,IF(OR('Personnel Yr 1'!$O$5&lt;&gt;"Federal - NIH",OR(AND(ISBLANK('Personnel Yr 2'!J14),ISBLANK('Personnel Yr 2'!K14),ISBLANK('Personnel Yr 2'!L14)),AND('Personnel Yr 2'!J14="",'Personnel Yr 2'!K14="",'Personnel Yr 2'!L14=""))),FALSE,IF('Personnel Yr 2'!J14&gt;0,'Personnel Yr 2'!I14&gt;NIHSalaryCap,'Personnel Yr 2'!I14&gt;(NIHSalaryCap*8.5)/12)),FALSE)</f>
        <v>0</v>
      </c>
      <c r="AD11" s="344" t="b">
        <f>'Personnel Yr 3'!Z14</f>
        <v>0</v>
      </c>
      <c r="AE11" s="344" t="b">
        <f>'Personnel Yr 4'!Z14</f>
        <v>0</v>
      </c>
      <c r="AF11" s="344" t="b">
        <f>'Personnel Yr 5'!Z14</f>
        <v>0</v>
      </c>
      <c r="AG11" s="344" t="b">
        <f t="shared" si="0"/>
        <v>0</v>
      </c>
    </row>
    <row r="12" spans="1:34" ht="14.45" customHeight="1" x14ac:dyDescent="0.2">
      <c r="C12" s="302" t="s">
        <v>427</v>
      </c>
      <c r="D12" s="313">
        <f>IFERROR(LOOKUP('Non-personnel'!C57,IDCDesc,IDCRate),'Non-personnel'!C57)</f>
        <v>0.495</v>
      </c>
      <c r="E12" s="312">
        <f>IFERROR(LOOKUP('Non-personnel'!C58,IDCDesc,IDCRate),'Non-personnel'!C58)</f>
        <v>0.495</v>
      </c>
      <c r="F12" s="312">
        <f>IFERROR(LOOKUP('Non-personnel'!C59,IDCDesc,IDCRate),'Non-personnel'!C59)</f>
        <v>0.495</v>
      </c>
      <c r="G12" s="312">
        <f>IFERROR(LOOKUP('Non-personnel'!C60,IDCDesc,IDCRate),'Non-personnel'!C60)</f>
        <v>0.495</v>
      </c>
      <c r="H12" s="312">
        <f>IFERROR(LOOKUP('Non-personnel'!C61,IDCDesc,IDCRate),'Non-personnel'!C61)</f>
        <v>0.495</v>
      </c>
      <c r="I12" s="308"/>
      <c r="S12" s="298"/>
      <c r="T12" s="298"/>
      <c r="W12" s="346"/>
      <c r="X12" s="346"/>
      <c r="Y12" s="346"/>
      <c r="Z12" s="346"/>
      <c r="AA12" s="346"/>
      <c r="AB12" s="344" t="b">
        <f>IF(OR('Personnel Yr 1'!$O$5&lt;&gt;"Federal - NIH",OR(AND(ISBLANK('Personnel Yr 1'!J20),ISBLANK('Personnel Yr 1'!K20),ISBLANK('Personnel Yr 1'!L20)),AND('Personnel Yr 1'!J20="",'Personnel Yr 1'!K20="",'Personnel Yr 1'!L20=""))),FALSE,IF('Personnel Yr 1'!J20&gt;0,'Personnel Yr 1'!I20&gt;NIHSalaryCap,'Personnel Yr 1'!I20&gt;(NIHSalaryCap*8.5)/12))</f>
        <v>0</v>
      </c>
      <c r="AC12" s="344" t="b">
        <f>IF('Personnel Yr 1'!$K$5&gt;1,IF(OR('Personnel Yr 1'!$O$5&lt;&gt;"Federal - NIH",OR(AND(ISBLANK('Personnel Yr 2'!J20),ISBLANK('Personnel Yr 2'!K20),ISBLANK('Personnel Yr 2'!L20)),AND('Personnel Yr 2'!J20="",'Personnel Yr 2'!K20="",'Personnel Yr 2'!L20=""))),FALSE,IF('Personnel Yr 2'!J20&gt;0,'Personnel Yr 2'!I20&gt;NIHSalaryCap,'Personnel Yr 2'!I20&gt;(NIHSalaryCap*8.5)/12)),FALSE)</f>
        <v>0</v>
      </c>
      <c r="AD12" s="344" t="b">
        <f>'Personnel Yr 3'!Z20</f>
        <v>0</v>
      </c>
      <c r="AE12" s="344" t="b">
        <f>'Personnel Yr 4'!Z20</f>
        <v>0</v>
      </c>
      <c r="AF12" s="344" t="b">
        <f>'Personnel Yr 5'!Z20</f>
        <v>0</v>
      </c>
      <c r="AG12" s="344" t="b">
        <f t="shared" si="0"/>
        <v>0</v>
      </c>
    </row>
    <row r="13" spans="1:34" ht="14.45" customHeight="1" x14ac:dyDescent="0.2">
      <c r="C13" s="302" t="s">
        <v>426</v>
      </c>
      <c r="D13" s="310">
        <f>(SUM('Non-personnel'!F57:F61)-'Non-personnel'!R52+I9)/IF('Personnel Yr 1'!K5=0,1,'Personnel Yr 1'!K5)</f>
        <v>0</v>
      </c>
      <c r="E13" s="309">
        <f>IF('Personnel Yr 1'!K5&gt;1,(SUM('Non-personnel'!F57:F61)-'Non-personnel'!R52+I9)/'Personnel Yr 1'!K5,0)</f>
        <v>0</v>
      </c>
      <c r="F13" s="309">
        <f>IF('Personnel Yr 1'!K5&gt;2,(SUM('Non-personnel'!F57:F61)-'Non-personnel'!R52+I9)/'Personnel Yr 1'!K5,0)</f>
        <v>0</v>
      </c>
      <c r="G13" s="309">
        <f>IF('Personnel Yr 1'!K5&gt;3,(SUM('Non-personnel'!F57:F61)-'Non-personnel'!R52+I9)/'Personnel Yr 1'!K5,0)</f>
        <v>0</v>
      </c>
      <c r="H13" s="309">
        <f>IF('Personnel Yr 1'!K5&gt;4,(SUM('Non-personnel'!F57:F61)-'Non-personnel'!R52+I9)/'Personnel Yr 1'!K5,0)</f>
        <v>0</v>
      </c>
      <c r="I13" s="308">
        <f>SUM(D13:H13)</f>
        <v>0</v>
      </c>
      <c r="K13" s="303"/>
      <c r="M13" s="303"/>
      <c r="S13" s="298"/>
      <c r="T13" s="298"/>
      <c r="W13" s="346"/>
      <c r="X13" s="346"/>
      <c r="Y13" s="346"/>
      <c r="Z13" s="346"/>
      <c r="AA13" s="346"/>
      <c r="AB13" s="344" t="b">
        <f>IF(OR('Personnel Yr 1'!$O$5&lt;&gt;"Federal - NIH",OR(AND(ISBLANK('Personnel Yr 1'!J21),ISBLANK('Personnel Yr 1'!K21),ISBLANK('Personnel Yr 1'!L21)),AND('Personnel Yr 1'!J21="",'Personnel Yr 1'!K21="",'Personnel Yr 1'!L21=""))),FALSE,IF('Personnel Yr 1'!J21&gt;0,'Personnel Yr 1'!I21&gt;NIHSalaryCap,'Personnel Yr 1'!I21&gt;(NIHSalaryCap*8.5)/12))</f>
        <v>0</v>
      </c>
      <c r="AC13" s="344" t="b">
        <f>IF('Personnel Yr 1'!$K$5&gt;1,IF(OR('Personnel Yr 1'!$O$5&lt;&gt;"Federal - NIH",OR(AND(ISBLANK('Personnel Yr 2'!J21),ISBLANK('Personnel Yr 2'!K21),ISBLANK('Personnel Yr 2'!L21)),AND('Personnel Yr 2'!J21="",'Personnel Yr 2'!K21="",'Personnel Yr 2'!L21=""))),FALSE,IF('Personnel Yr 2'!J21&gt;0,'Personnel Yr 2'!I21&gt;NIHSalaryCap,'Personnel Yr 2'!I21&gt;(NIHSalaryCap*8.5)/12)),FALSE)</f>
        <v>0</v>
      </c>
      <c r="AD13" s="344" t="b">
        <f>'Personnel Yr 3'!Z21</f>
        <v>0</v>
      </c>
      <c r="AE13" s="344" t="b">
        <f>'Personnel Yr 4'!Z21</f>
        <v>0</v>
      </c>
      <c r="AF13" s="344" t="b">
        <f>'Personnel Yr 5'!Z21</f>
        <v>0</v>
      </c>
      <c r="AG13" s="344" t="b">
        <f t="shared" si="0"/>
        <v>0</v>
      </c>
    </row>
    <row r="14" spans="1:34" ht="14.45" customHeight="1" x14ac:dyDescent="0.2">
      <c r="B14" s="311"/>
      <c r="D14" s="766" t="s">
        <v>425</v>
      </c>
      <c r="E14" s="767"/>
      <c r="F14" s="767"/>
      <c r="G14" s="767"/>
      <c r="H14" s="767"/>
      <c r="I14" s="768"/>
      <c r="M14" s="303"/>
      <c r="S14" s="298"/>
      <c r="T14" s="298"/>
      <c r="W14" s="346"/>
      <c r="X14" s="346"/>
      <c r="Y14" s="346"/>
      <c r="Z14" s="346"/>
      <c r="AA14" s="346"/>
      <c r="AB14" s="344" t="b">
        <f>IF(OR('Personnel Yr 1'!$O$5&lt;&gt;"Federal - NIH",OR(AND(ISBLANK('Personnel Yr 1'!J22),ISBLANK('Personnel Yr 1'!K22),ISBLANK('Personnel Yr 1'!L22)),AND('Personnel Yr 1'!J22="",'Personnel Yr 1'!K22="",'Personnel Yr 1'!L22=""))),FALSE,IF('Personnel Yr 1'!J22&gt;0,'Personnel Yr 1'!I22&gt;NIHSalaryCap,'Personnel Yr 1'!I22&gt;(NIHSalaryCap*8.5)/12))</f>
        <v>0</v>
      </c>
      <c r="AC14" s="344" t="b">
        <f>IF('Personnel Yr 1'!$K$5&gt;1,IF(OR('Personnel Yr 1'!$O$5&lt;&gt;"Federal - NIH",OR(AND(ISBLANK('Personnel Yr 2'!J22),ISBLANK('Personnel Yr 2'!K22),ISBLANK('Personnel Yr 2'!L22)),AND('Personnel Yr 2'!J22="",'Personnel Yr 2'!K22="",'Personnel Yr 2'!L22=""))),FALSE,IF('Personnel Yr 2'!J22&gt;0,'Personnel Yr 2'!I22&gt;NIHSalaryCap,'Personnel Yr 2'!I22&gt;(NIHSalaryCap*8.5)/12)),FALSE)</f>
        <v>0</v>
      </c>
      <c r="AD14" s="344" t="b">
        <f>'Personnel Yr 3'!Z22</f>
        <v>0</v>
      </c>
      <c r="AE14" s="344" t="b">
        <f>'Personnel Yr 4'!Z22</f>
        <v>0</v>
      </c>
      <c r="AF14" s="344" t="b">
        <f>'Personnel Yr 5'!Z22</f>
        <v>0</v>
      </c>
      <c r="AG14" s="344" t="b">
        <f t="shared" si="0"/>
        <v>0</v>
      </c>
    </row>
    <row r="15" spans="1:34" ht="14.45" customHeight="1" x14ac:dyDescent="0.2">
      <c r="B15" s="311"/>
      <c r="C15" s="302" t="s">
        <v>30</v>
      </c>
      <c r="D15" s="310">
        <f>D12*D13</f>
        <v>0</v>
      </c>
      <c r="E15" s="309">
        <f>E12*E13</f>
        <v>0</v>
      </c>
      <c r="F15" s="309">
        <f>F12*F13</f>
        <v>0</v>
      </c>
      <c r="G15" s="309">
        <f>G12*G13</f>
        <v>0</v>
      </c>
      <c r="H15" s="309">
        <f>H12*H13</f>
        <v>0</v>
      </c>
      <c r="I15" s="308">
        <f>SUM(D15:H15)</f>
        <v>0</v>
      </c>
      <c r="S15" s="298"/>
      <c r="T15" s="298"/>
      <c r="W15" s="346"/>
      <c r="X15" s="346"/>
      <c r="Y15" s="346"/>
      <c r="Z15" s="346"/>
      <c r="AA15" s="346"/>
      <c r="AB15" s="344" t="b">
        <f>IF(OR('Personnel Yr 1'!$O$5&lt;&gt;"Federal - NIH",OR(AND(ISBLANK('Personnel Yr 1'!J23),ISBLANK('Personnel Yr 1'!K23),ISBLANK('Personnel Yr 1'!L23)),AND('Personnel Yr 1'!J23="",'Personnel Yr 1'!K23="",'Personnel Yr 1'!L23=""))),FALSE,IF('Personnel Yr 1'!J23&gt;0,'Personnel Yr 1'!I23&gt;NIHSalaryCap,'Personnel Yr 1'!I23&gt;(NIHSalaryCap*8.5)/12))</f>
        <v>0</v>
      </c>
      <c r="AC15" s="344" t="b">
        <f>IF('Personnel Yr 1'!$K$5&gt;1,IF(OR('Personnel Yr 1'!$O$5&lt;&gt;"Federal - NIH",OR(AND(ISBLANK('Personnel Yr 2'!J23),ISBLANK('Personnel Yr 2'!K23),ISBLANK('Personnel Yr 2'!L23)),AND('Personnel Yr 2'!J23="",'Personnel Yr 2'!K23="",'Personnel Yr 2'!L23=""))),FALSE,IF('Personnel Yr 2'!J23&gt;0,'Personnel Yr 2'!I23&gt;NIHSalaryCap,'Personnel Yr 2'!I23&gt;(NIHSalaryCap*8.5)/12)),FALSE)</f>
        <v>0</v>
      </c>
      <c r="AD15" s="344" t="b">
        <f>'Personnel Yr 3'!Z23</f>
        <v>0</v>
      </c>
      <c r="AE15" s="344" t="b">
        <f>'Personnel Yr 4'!Z23</f>
        <v>0</v>
      </c>
      <c r="AF15" s="344" t="b">
        <f>'Personnel Yr 5'!Z23</f>
        <v>0</v>
      </c>
      <c r="AG15" s="344" t="b">
        <f t="shared" si="0"/>
        <v>0</v>
      </c>
    </row>
    <row r="16" spans="1:34" ht="14.45" customHeight="1" x14ac:dyDescent="0.2">
      <c r="C16" s="302"/>
      <c r="D16" s="766" t="s">
        <v>424</v>
      </c>
      <c r="E16" s="767"/>
      <c r="F16" s="767"/>
      <c r="G16" s="767"/>
      <c r="H16" s="767"/>
      <c r="I16" s="768"/>
      <c r="S16" s="298"/>
      <c r="T16" s="298"/>
      <c r="W16" s="346"/>
      <c r="X16" s="346"/>
      <c r="Y16" s="346"/>
      <c r="Z16" s="346"/>
      <c r="AA16" s="346"/>
      <c r="AB16" s="344" t="b">
        <f>IF(OR('Personnel Yr 1'!$O$5&lt;&gt;"Federal - NIH",OR(AND(ISBLANK('Personnel Yr 1'!J24),ISBLANK('Personnel Yr 1'!K24),ISBLANK('Personnel Yr 1'!L24)),AND('Personnel Yr 1'!J24="",'Personnel Yr 1'!K24="",'Personnel Yr 1'!L24=""))),FALSE,IF('Personnel Yr 1'!J24&gt;0,'Personnel Yr 1'!I24&gt;NIHSalaryCap,'Personnel Yr 1'!I24&gt;(NIHSalaryCap*8.5)/12))</f>
        <v>0</v>
      </c>
      <c r="AC16" s="344" t="b">
        <f>IF('Personnel Yr 1'!$K$5&gt;1,IF(OR('Personnel Yr 1'!$O$5&lt;&gt;"Federal - NIH",OR(AND(ISBLANK('Personnel Yr 2'!J24),ISBLANK('Personnel Yr 2'!K24),ISBLANK('Personnel Yr 2'!L24)),AND('Personnel Yr 2'!J24="",'Personnel Yr 2'!K24="",'Personnel Yr 2'!L24=""))),FALSE,IF('Personnel Yr 2'!J24&gt;0,'Personnel Yr 2'!I24&gt;NIHSalaryCap,'Personnel Yr 2'!I24&gt;(NIHSalaryCap*8.5)/12)),FALSE)</f>
        <v>0</v>
      </c>
      <c r="AD16" s="344" t="b">
        <f>'Personnel Yr 3'!Z24</f>
        <v>0</v>
      </c>
      <c r="AE16" s="344" t="b">
        <f>'Personnel Yr 4'!Z24</f>
        <v>0</v>
      </c>
      <c r="AF16" s="344" t="b">
        <f>'Personnel Yr 5'!Z24</f>
        <v>0</v>
      </c>
      <c r="AG16" s="344" t="b">
        <f t="shared" si="0"/>
        <v>0</v>
      </c>
    </row>
    <row r="17" spans="1:33" ht="14.45" customHeight="1" thickBot="1" x14ac:dyDescent="0.25">
      <c r="A17" s="307" t="s">
        <v>423</v>
      </c>
      <c r="C17" s="302"/>
      <c r="D17" s="306">
        <f>SUM(D9,D15)</f>
        <v>0</v>
      </c>
      <c r="E17" s="305">
        <f>SUM(E9,E15)</f>
        <v>0</v>
      </c>
      <c r="F17" s="305">
        <f>SUM(F9,F15)</f>
        <v>0</v>
      </c>
      <c r="G17" s="305">
        <f>SUM(G9,G15)</f>
        <v>0</v>
      </c>
      <c r="H17" s="305">
        <f>SUM(H9,H15)</f>
        <v>0</v>
      </c>
      <c r="I17" s="304">
        <f>SUM(D17:H17)</f>
        <v>0</v>
      </c>
      <c r="S17" s="298"/>
      <c r="T17" s="298"/>
      <c r="W17" s="346"/>
      <c r="X17" s="346"/>
      <c r="Y17" s="346"/>
      <c r="Z17" s="346"/>
      <c r="AA17" s="346"/>
      <c r="AB17" s="344" t="b">
        <f>IF(OR('Personnel Yr 1'!$O$5&lt;&gt;"Federal - NIH",OR(AND(ISBLANK('Personnel Yr 1'!J25),ISBLANK('Personnel Yr 1'!K25),ISBLANK('Personnel Yr 1'!L25)),AND('Personnel Yr 1'!J25="",'Personnel Yr 1'!K25="",'Personnel Yr 1'!L25=""))),FALSE,IF('Personnel Yr 1'!J25&gt;0,'Personnel Yr 1'!I25&gt;NIHSalaryCap,'Personnel Yr 1'!I25&gt;(NIHSalaryCap*8.5)/12))</f>
        <v>0</v>
      </c>
      <c r="AC17" s="344" t="b">
        <f>IF('Personnel Yr 1'!$K$5&gt;1,IF(OR('Personnel Yr 1'!$O$5&lt;&gt;"Federal - NIH",OR(AND(ISBLANK('Personnel Yr 2'!J25),ISBLANK('Personnel Yr 2'!K25),ISBLANK('Personnel Yr 2'!L25)),AND('Personnel Yr 2'!J25="",'Personnel Yr 2'!K25="",'Personnel Yr 2'!L25=""))),FALSE,IF('Personnel Yr 2'!J25&gt;0,'Personnel Yr 2'!I25&gt;NIHSalaryCap,'Personnel Yr 2'!I25&gt;(NIHSalaryCap*8.5)/12)),FALSE)</f>
        <v>0</v>
      </c>
      <c r="AD17" s="344" t="b">
        <f>'Personnel Yr 3'!Z25</f>
        <v>0</v>
      </c>
      <c r="AE17" s="344" t="b">
        <f>'Personnel Yr 4'!Z25</f>
        <v>0</v>
      </c>
      <c r="AF17" s="344" t="b">
        <f>'Personnel Yr 5'!Z25</f>
        <v>0</v>
      </c>
      <c r="AG17" s="344" t="b">
        <f t="shared" si="0"/>
        <v>0</v>
      </c>
    </row>
    <row r="18" spans="1:33" ht="14.45" customHeight="1" thickBot="1" x14ac:dyDescent="0.25">
      <c r="D18" s="303"/>
      <c r="E18" s="303"/>
      <c r="F18" s="303"/>
      <c r="G18" s="303"/>
      <c r="H18" s="303"/>
      <c r="I18" s="303"/>
      <c r="S18" s="298"/>
      <c r="T18" s="298"/>
      <c r="W18" s="346"/>
      <c r="X18" s="346"/>
      <c r="Y18" s="346"/>
      <c r="Z18" s="346"/>
      <c r="AA18" s="346"/>
      <c r="AB18" s="344" t="b">
        <f>IF(OR('Personnel Yr 1'!$O$5&lt;&gt;"Federal - NIH",OR(AND(ISBLANK('Personnel Yr 1'!J26),ISBLANK('Personnel Yr 1'!K26),ISBLANK('Personnel Yr 1'!L26)),AND('Personnel Yr 1'!J26="",'Personnel Yr 1'!K26="",'Personnel Yr 1'!L26=""))),FALSE,IF('Personnel Yr 1'!J26&gt;0,'Personnel Yr 1'!I26&gt;NIHSalaryCap,'Personnel Yr 1'!I26&gt;(NIHSalaryCap*8.5)/12))</f>
        <v>0</v>
      </c>
      <c r="AC18" s="344" t="b">
        <f>IF('Personnel Yr 1'!$K$5&gt;1,IF(OR('Personnel Yr 1'!$O$5&lt;&gt;"Federal - NIH",OR(AND(ISBLANK('Personnel Yr 2'!J26),ISBLANK('Personnel Yr 2'!K26),ISBLANK('Personnel Yr 2'!L26)),AND('Personnel Yr 2'!J26="",'Personnel Yr 2'!K26="",'Personnel Yr 2'!L26=""))),FALSE,IF('Personnel Yr 2'!J26&gt;0,'Personnel Yr 2'!I26&gt;NIHSalaryCap,'Personnel Yr 2'!I26&gt;(NIHSalaryCap*8.5)/12)),FALSE)</f>
        <v>0</v>
      </c>
      <c r="AD18" s="344" t="b">
        <f>'Personnel Yr 3'!Z26</f>
        <v>0</v>
      </c>
      <c r="AE18" s="344" t="b">
        <f>'Personnel Yr 4'!Z26</f>
        <v>0</v>
      </c>
      <c r="AF18" s="344" t="b">
        <f>'Personnel Yr 5'!Z26</f>
        <v>0</v>
      </c>
      <c r="AG18" s="344" t="b">
        <f t="shared" si="0"/>
        <v>0</v>
      </c>
    </row>
    <row r="19" spans="1:33" ht="14.45" customHeight="1" thickBot="1" x14ac:dyDescent="0.25">
      <c r="C19" s="302" t="s">
        <v>422</v>
      </c>
      <c r="D19" s="301">
        <f>ROUNDUP(SUM('Non-personnel'!H90,'Non-personnel'!I90)/1000,0) * 1000</f>
        <v>0</v>
      </c>
      <c r="E19" s="300">
        <f>ROUNDUP(SUM('Non-personnel'!J90,'Non-personnel'!K90)/1000,0)*1000</f>
        <v>0</v>
      </c>
      <c r="F19" s="300">
        <f>ROUNDUP(SUM('Non-personnel'!L90,'Non-personnel'!M90)/1000,0)*1000</f>
        <v>0</v>
      </c>
      <c r="G19" s="300">
        <f>ROUNDUP(SUM('Non-personnel'!N90,'Non-personnel'!O90)/1000,0)*1000</f>
        <v>0</v>
      </c>
      <c r="H19" s="300">
        <f>ROUNDUP(SUM('Non-personnel'!P90,'Non-personnel'!Q90)/1000,0)*1000</f>
        <v>0</v>
      </c>
      <c r="I19" s="299">
        <f>SUM(D19:H19)</f>
        <v>0</v>
      </c>
      <c r="S19" s="298"/>
      <c r="T19" s="298"/>
      <c r="W19" s="346"/>
      <c r="X19" s="346"/>
      <c r="Y19" s="346"/>
      <c r="Z19" s="346"/>
      <c r="AA19" s="346"/>
      <c r="AB19" s="344" t="b">
        <f>IF(OR('Personnel Yr 1'!$O$5&lt;&gt;"Federal - NIH",OR(AND(ISBLANK('Personnel Yr 1'!J27),ISBLANK('Personnel Yr 1'!K27),ISBLANK('Personnel Yr 1'!L27)),AND('Personnel Yr 1'!J27="",'Personnel Yr 1'!K27="",'Personnel Yr 1'!L27=""))),FALSE,IF('Personnel Yr 1'!J27&gt;0,'Personnel Yr 1'!I27&gt;NIHSalaryCap,'Personnel Yr 1'!I27&gt;(NIHSalaryCap*8.5)/12))</f>
        <v>0</v>
      </c>
      <c r="AC19" s="344" t="b">
        <f>IF('Personnel Yr 1'!$K$5&gt;1,IF(OR('Personnel Yr 1'!$O$5&lt;&gt;"Federal - NIH",OR(AND(ISBLANK('Personnel Yr 2'!J27),ISBLANK('Personnel Yr 2'!K27),ISBLANK('Personnel Yr 2'!L27)),AND('Personnel Yr 2'!J27="",'Personnel Yr 2'!K27="",'Personnel Yr 2'!L27=""))),FALSE,IF('Personnel Yr 2'!J27&gt;0,'Personnel Yr 2'!I27&gt;NIHSalaryCap,'Personnel Yr 2'!I27&gt;(NIHSalaryCap*8.5)/12)),FALSE)</f>
        <v>0</v>
      </c>
      <c r="AD19" s="344" t="b">
        <f>'Personnel Yr 3'!Z27</f>
        <v>0</v>
      </c>
      <c r="AE19" s="344" t="b">
        <f>'Personnel Yr 4'!Z27</f>
        <v>0</v>
      </c>
      <c r="AF19" s="344" t="b">
        <f>'Personnel Yr 5'!Z27</f>
        <v>0</v>
      </c>
      <c r="AG19" s="344" t="b">
        <f t="shared" si="0"/>
        <v>0</v>
      </c>
    </row>
    <row r="20" spans="1:33" x14ac:dyDescent="0.2">
      <c r="S20" s="298"/>
      <c r="T20" s="298"/>
      <c r="W20" s="346"/>
      <c r="X20" s="346"/>
      <c r="Y20" s="346"/>
      <c r="Z20" s="346"/>
      <c r="AA20" s="346"/>
      <c r="AB20" s="344" t="b">
        <f>IF(OR('Personnel Yr 1'!$O$5&lt;&gt;"Federal - NIH",OR(AND(ISBLANK('Personnel Yr 1'!J28),ISBLANK('Personnel Yr 1'!K28),ISBLANK('Personnel Yr 1'!L28)),AND('Personnel Yr 1'!J28="",'Personnel Yr 1'!K28="",'Personnel Yr 1'!L28=""))),FALSE,IF('Personnel Yr 1'!J28&gt;0,'Personnel Yr 1'!I28&gt;NIHSalaryCap,'Personnel Yr 1'!I28&gt;(NIHSalaryCap*8.5)/12))</f>
        <v>0</v>
      </c>
      <c r="AC20" s="344" t="b">
        <f>IF('Personnel Yr 1'!$K$5&gt;1,IF(OR('Personnel Yr 1'!$O$5&lt;&gt;"Federal - NIH",OR(AND(ISBLANK('Personnel Yr 2'!J28),ISBLANK('Personnel Yr 2'!K28),ISBLANK('Personnel Yr 2'!L28)),AND('Personnel Yr 2'!J28="",'Personnel Yr 2'!K28="",'Personnel Yr 2'!L28=""))),FALSE,IF('Personnel Yr 2'!J28&gt;0,'Personnel Yr 2'!I28&gt;NIHSalaryCap,'Personnel Yr 2'!I28&gt;(NIHSalaryCap*8.5)/12)),FALSE)</f>
        <v>0</v>
      </c>
      <c r="AD20" s="344" t="b">
        <f>'Personnel Yr 3'!Z28</f>
        <v>0</v>
      </c>
      <c r="AE20" s="344" t="b">
        <f>'Personnel Yr 4'!Z28</f>
        <v>0</v>
      </c>
      <c r="AF20" s="344" t="b">
        <f>'Personnel Yr 5'!Z28</f>
        <v>0</v>
      </c>
      <c r="AG20" s="344" t="b">
        <f t="shared" si="0"/>
        <v>0</v>
      </c>
    </row>
    <row r="21" spans="1:33" x14ac:dyDescent="0.2">
      <c r="A21" s="347" t="s">
        <v>421</v>
      </c>
      <c r="B21" s="348"/>
      <c r="C21" s="348"/>
      <c r="D21" s="348"/>
      <c r="E21" s="348"/>
      <c r="F21" s="348"/>
      <c r="G21" s="348"/>
      <c r="H21" s="348"/>
      <c r="I21" s="348"/>
      <c r="S21" s="298"/>
      <c r="T21" s="298"/>
      <c r="W21" s="346"/>
      <c r="X21" s="346"/>
      <c r="Y21" s="346"/>
      <c r="Z21" s="346"/>
      <c r="AA21" s="346"/>
      <c r="AB21" s="344" t="b">
        <f>IF(OR('Personnel Yr 1'!$O$5&lt;&gt;"Federal - NIH",OR(AND(ISBLANK('Personnel Yr 1'!J29),ISBLANK('Personnel Yr 1'!K29),ISBLANK('Personnel Yr 1'!L29)),AND('Personnel Yr 1'!J29="",'Personnel Yr 1'!K29="",'Personnel Yr 1'!L29=""))),FALSE,IF('Personnel Yr 1'!J29&gt;0,'Personnel Yr 1'!I29&gt;NIHSalaryCap,'Personnel Yr 1'!I29&gt;(NIHSalaryCap*8.5)/12))</f>
        <v>0</v>
      </c>
      <c r="AC21" s="344" t="b">
        <f>IF('Personnel Yr 1'!$K$5&gt;1,IF(OR('Personnel Yr 1'!$O$5&lt;&gt;"Federal - NIH",OR(AND(ISBLANK('Personnel Yr 2'!J29),ISBLANK('Personnel Yr 2'!K29),ISBLANK('Personnel Yr 2'!L29)),AND('Personnel Yr 2'!J29="",'Personnel Yr 2'!K29="",'Personnel Yr 2'!L29=""))),FALSE,IF('Personnel Yr 2'!J29&gt;0,'Personnel Yr 2'!I29&gt;NIHSalaryCap,'Personnel Yr 2'!I29&gt;(NIHSalaryCap*8.5)/12)),FALSE)</f>
        <v>0</v>
      </c>
      <c r="AD21" s="344" t="b">
        <f>'Personnel Yr 3'!Z29</f>
        <v>0</v>
      </c>
      <c r="AE21" s="344" t="b">
        <f>'Personnel Yr 4'!Z29</f>
        <v>0</v>
      </c>
      <c r="AF21" s="344" t="b">
        <f>'Personnel Yr 5'!Z29</f>
        <v>0</v>
      </c>
      <c r="AG21" s="344" t="b">
        <f t="shared" si="0"/>
        <v>0</v>
      </c>
    </row>
    <row r="22" spans="1:33" x14ac:dyDescent="0.2">
      <c r="A22" s="389" t="s">
        <v>458</v>
      </c>
      <c r="B22" s="349"/>
      <c r="C22" s="349"/>
      <c r="D22" s="349"/>
      <c r="E22" s="349"/>
      <c r="F22" s="349"/>
      <c r="G22" s="349"/>
      <c r="H22" s="349"/>
      <c r="I22" s="350"/>
      <c r="S22" s="298"/>
      <c r="T22" s="298"/>
      <c r="W22" s="346"/>
      <c r="X22" s="346"/>
      <c r="Y22" s="346"/>
      <c r="Z22" s="346"/>
      <c r="AA22" s="346"/>
      <c r="AB22" s="344" t="b">
        <f>IF(OR('Personnel Yr 1'!$O$5&lt;&gt;"Federal - NIH",OR(AND(ISBLANK('Personnel Yr 1'!J30),ISBLANK('Personnel Yr 1'!K30),ISBLANK('Personnel Yr 1'!L30)),AND('Personnel Yr 1'!J30="",'Personnel Yr 1'!K30="",'Personnel Yr 1'!L30=""))),FALSE,IF('Personnel Yr 1'!J30&gt;0,'Personnel Yr 1'!I30&gt;NIHSalaryCap,'Personnel Yr 1'!I30&gt;(NIHSalaryCap*8.5)/12))</f>
        <v>0</v>
      </c>
      <c r="AC22" s="344" t="b">
        <f>IF('Personnel Yr 1'!$K$5&gt;1,IF(OR('Personnel Yr 1'!$O$5&lt;&gt;"Federal - NIH",OR(AND(ISBLANK('Personnel Yr 2'!J30),ISBLANK('Personnel Yr 2'!K30),ISBLANK('Personnel Yr 2'!L30)),AND('Personnel Yr 2'!J30="",'Personnel Yr 2'!K30="",'Personnel Yr 2'!L30=""))),FALSE,IF('Personnel Yr 2'!J30&gt;0,'Personnel Yr 2'!I30&gt;NIHSalaryCap,'Personnel Yr 2'!I30&gt;(NIHSalaryCap*8.5)/12)),FALSE)</f>
        <v>0</v>
      </c>
      <c r="AD22" s="344" t="b">
        <f>'Personnel Yr 3'!Z30</f>
        <v>0</v>
      </c>
      <c r="AE22" s="344" t="b">
        <f>'Personnel Yr 4'!Z30</f>
        <v>0</v>
      </c>
      <c r="AF22" s="344" t="b">
        <f>'Personnel Yr 5'!Z30</f>
        <v>0</v>
      </c>
      <c r="AG22" s="344" t="b">
        <f t="shared" si="0"/>
        <v>0</v>
      </c>
    </row>
    <row r="23" spans="1:33" x14ac:dyDescent="0.2">
      <c r="A23" s="390" t="s">
        <v>457</v>
      </c>
      <c r="B23" s="348"/>
      <c r="C23" s="348"/>
      <c r="D23" s="348"/>
      <c r="E23" s="348"/>
      <c r="F23" s="348"/>
      <c r="G23" s="348"/>
      <c r="H23" s="348"/>
      <c r="I23" s="352"/>
      <c r="S23" s="298"/>
      <c r="T23" s="298"/>
      <c r="W23" s="346"/>
      <c r="X23" s="346"/>
      <c r="Y23" s="346"/>
      <c r="Z23" s="346"/>
      <c r="AA23" s="346"/>
      <c r="AB23" s="344" t="b">
        <f>IF(OR('Personnel Yr 1'!$O$5&lt;&gt;"Federal - NIH",OR(AND(ISBLANK('Personnel Yr 1'!J31),ISBLANK('Personnel Yr 1'!K31),ISBLANK('Personnel Yr 1'!L31)),AND('Personnel Yr 1'!J31="",'Personnel Yr 1'!K31="",'Personnel Yr 1'!L31=""))),FALSE,IF('Personnel Yr 1'!J31&gt;0,'Personnel Yr 1'!I31&gt;NIHSalaryCap,'Personnel Yr 1'!I31&gt;(NIHSalaryCap*8.5)/12))</f>
        <v>0</v>
      </c>
      <c r="AC23" s="344" t="b">
        <f>IF('Personnel Yr 1'!$K$5&gt;1,IF(OR('Personnel Yr 1'!$O$5&lt;&gt;"Federal - NIH",OR(AND(ISBLANK('Personnel Yr 2'!J31),ISBLANK('Personnel Yr 2'!K31),ISBLANK('Personnel Yr 2'!L31)),AND('Personnel Yr 2'!J31="",'Personnel Yr 2'!K31="",'Personnel Yr 2'!L31=""))),FALSE,IF('Personnel Yr 2'!J31&gt;0,'Personnel Yr 2'!I31&gt;NIHSalaryCap,'Personnel Yr 2'!I31&gt;(NIHSalaryCap*8.5)/12)),FALSE)</f>
        <v>0</v>
      </c>
      <c r="AD23" s="344" t="b">
        <f>'Personnel Yr 3'!Z31</f>
        <v>0</v>
      </c>
      <c r="AE23" s="344" t="b">
        <f>'Personnel Yr 4'!Z31</f>
        <v>0</v>
      </c>
      <c r="AF23" s="344" t="b">
        <f>'Personnel Yr 5'!Z31</f>
        <v>0</v>
      </c>
      <c r="AG23" s="344" t="b">
        <f t="shared" si="0"/>
        <v>0</v>
      </c>
    </row>
    <row r="24" spans="1:33" x14ac:dyDescent="0.2">
      <c r="A24" s="351" t="s">
        <v>462</v>
      </c>
      <c r="B24" s="348"/>
      <c r="C24" s="348"/>
      <c r="D24" s="348"/>
      <c r="E24" s="348"/>
      <c r="F24" s="348"/>
      <c r="G24" s="348"/>
      <c r="H24" s="348"/>
      <c r="I24" s="352"/>
      <c r="S24" s="298"/>
      <c r="T24" s="298"/>
      <c r="W24" s="346"/>
      <c r="X24" s="346"/>
      <c r="Y24" s="346"/>
      <c r="Z24" s="346"/>
      <c r="AA24" s="346"/>
      <c r="AB24" s="344" t="b">
        <f>IF(OR('Personnel Yr 1'!$O$5&lt;&gt;"Federal - NIH",OR(AND(ISBLANK('Personnel Yr 1'!J32),ISBLANK('Personnel Yr 1'!K32),ISBLANK('Personnel Yr 1'!L32)),AND('Personnel Yr 1'!J32="",'Personnel Yr 1'!K32="",'Personnel Yr 1'!L32=""))),FALSE,IF('Personnel Yr 1'!J32&gt;0,'Personnel Yr 1'!I32&gt;NIHSalaryCap,'Personnel Yr 1'!I32&gt;(NIHSalaryCap*8.5)/12))</f>
        <v>0</v>
      </c>
      <c r="AC24" s="344" t="b">
        <f>IF('Personnel Yr 1'!$K$5&gt;1,IF(OR('Personnel Yr 1'!$O$5&lt;&gt;"Federal - NIH",OR(AND(ISBLANK('Personnel Yr 2'!J32),ISBLANK('Personnel Yr 2'!K32),ISBLANK('Personnel Yr 2'!L32)),AND('Personnel Yr 2'!J32="",'Personnel Yr 2'!K32="",'Personnel Yr 2'!L32=""))),FALSE,IF('Personnel Yr 2'!J32&gt;0,'Personnel Yr 2'!I32&gt;NIHSalaryCap,'Personnel Yr 2'!I32&gt;(NIHSalaryCap*8.5)/12)),FALSE)</f>
        <v>0</v>
      </c>
      <c r="AD24" s="344" t="b">
        <f>'Personnel Yr 3'!Z32</f>
        <v>0</v>
      </c>
      <c r="AE24" s="344" t="b">
        <f>'Personnel Yr 4'!Z32</f>
        <v>0</v>
      </c>
      <c r="AF24" s="344" t="b">
        <f>'Personnel Yr 5'!Z32</f>
        <v>0</v>
      </c>
      <c r="AG24" s="344" t="b">
        <f t="shared" si="0"/>
        <v>0</v>
      </c>
    </row>
    <row r="25" spans="1:33" x14ac:dyDescent="0.2">
      <c r="A25" s="390" t="s">
        <v>461</v>
      </c>
      <c r="B25" s="348"/>
      <c r="C25" s="348"/>
      <c r="D25" s="348"/>
      <c r="E25" s="348"/>
      <c r="F25" s="348"/>
      <c r="G25" s="348"/>
      <c r="H25" s="348"/>
      <c r="I25" s="352"/>
      <c r="S25" s="298"/>
      <c r="T25" s="298"/>
      <c r="W25" s="346"/>
      <c r="X25" s="346"/>
      <c r="Y25" s="346"/>
      <c r="Z25" s="346"/>
      <c r="AA25" s="346"/>
      <c r="AB25" s="344" t="b">
        <f>IF(OR('Personnel Yr 1'!$O$5&lt;&gt;"Federal - NIH",OR(AND(ISBLANK('Personnel Yr 1'!J33),ISBLANK('Personnel Yr 1'!K33),ISBLANK('Personnel Yr 1'!L33)),AND('Personnel Yr 1'!J33="",'Personnel Yr 1'!K33="",'Personnel Yr 1'!L33=""))),FALSE,IF('Personnel Yr 1'!J33&gt;0,'Personnel Yr 1'!I33&gt;NIHSalaryCap,'Personnel Yr 1'!I33&gt;(NIHSalaryCap*8.5)/12))</f>
        <v>0</v>
      </c>
      <c r="AC25" s="344" t="b">
        <f>IF('Personnel Yr 1'!$K$5&gt;1,IF(OR('Personnel Yr 1'!$O$5&lt;&gt;"Federal - NIH",OR(AND(ISBLANK('Personnel Yr 2'!J33),ISBLANK('Personnel Yr 2'!K33),ISBLANK('Personnel Yr 2'!L33)),AND('Personnel Yr 2'!J33="",'Personnel Yr 2'!K33="",'Personnel Yr 2'!L33=""))),FALSE,IF('Personnel Yr 2'!J33&gt;0,'Personnel Yr 2'!I33&gt;NIHSalaryCap,'Personnel Yr 2'!I33&gt;(NIHSalaryCap*8.5)/12)),FALSE)</f>
        <v>0</v>
      </c>
      <c r="AD25" s="344" t="b">
        <f>'Personnel Yr 3'!Z33</f>
        <v>0</v>
      </c>
      <c r="AE25" s="344" t="b">
        <f>'Personnel Yr 4'!Z33</f>
        <v>0</v>
      </c>
      <c r="AF25" s="344" t="b">
        <f>'Personnel Yr 5'!Z33</f>
        <v>0</v>
      </c>
      <c r="AG25" s="344" t="b">
        <f t="shared" si="0"/>
        <v>0</v>
      </c>
    </row>
    <row r="26" spans="1:33" x14ac:dyDescent="0.2">
      <c r="A26" s="392" t="s">
        <v>463</v>
      </c>
      <c r="B26" s="348"/>
      <c r="C26" s="348"/>
      <c r="D26" s="348"/>
      <c r="E26" s="348"/>
      <c r="F26" s="348"/>
      <c r="G26" s="348"/>
      <c r="H26" s="348"/>
      <c r="I26" s="352"/>
      <c r="S26" s="298"/>
      <c r="T26" s="298"/>
      <c r="W26" s="346"/>
      <c r="X26" s="346"/>
      <c r="Y26" s="346"/>
      <c r="Z26" s="346"/>
      <c r="AA26" s="346"/>
      <c r="AB26" s="344" t="b">
        <f>IF(OR('Personnel Yr 1'!$O$5&lt;&gt;"Federal - NIH",OR(AND(ISBLANK('Personnel Yr 1'!J34),ISBLANK('Personnel Yr 1'!K34),ISBLANK('Personnel Yr 1'!L34)),AND('Personnel Yr 1'!J34="",'Personnel Yr 1'!K34="",'Personnel Yr 1'!L34=""))),FALSE,IF('Personnel Yr 1'!J34&gt;0,'Personnel Yr 1'!I34&gt;NIHSalaryCap,'Personnel Yr 1'!I34&gt;(NIHSalaryCap*8.5)/12))</f>
        <v>0</v>
      </c>
      <c r="AC26" s="344" t="b">
        <f>IF('Personnel Yr 1'!$K$5&gt;1,IF(OR('Personnel Yr 1'!$O$5&lt;&gt;"Federal - NIH",OR(AND(ISBLANK('Personnel Yr 2'!J34),ISBLANK('Personnel Yr 2'!K34),ISBLANK('Personnel Yr 2'!L34)),AND('Personnel Yr 2'!J34="",'Personnel Yr 2'!K34="",'Personnel Yr 2'!L34=""))),FALSE,IF('Personnel Yr 2'!J34&gt;0,'Personnel Yr 2'!I34&gt;NIHSalaryCap,'Personnel Yr 2'!I34&gt;(NIHSalaryCap*8.5)/12)),FALSE)</f>
        <v>0</v>
      </c>
      <c r="AD26" s="344" t="b">
        <f>'Personnel Yr 3'!Z34</f>
        <v>0</v>
      </c>
      <c r="AE26" s="344" t="b">
        <f>'Personnel Yr 4'!Z34</f>
        <v>0</v>
      </c>
      <c r="AF26" s="344" t="b">
        <f>'Personnel Yr 5'!Z34</f>
        <v>0</v>
      </c>
      <c r="AG26" s="344" t="b">
        <f t="shared" si="0"/>
        <v>0</v>
      </c>
    </row>
    <row r="27" spans="1:33" x14ac:dyDescent="0.2">
      <c r="A27" s="390" t="s">
        <v>464</v>
      </c>
      <c r="B27" s="348"/>
      <c r="C27" s="348"/>
      <c r="D27" s="348"/>
      <c r="E27" s="348"/>
      <c r="F27" s="348"/>
      <c r="G27" s="348"/>
      <c r="H27" s="348"/>
      <c r="I27" s="352"/>
      <c r="S27" s="298"/>
      <c r="T27" s="298"/>
      <c r="W27" s="346"/>
      <c r="X27" s="346"/>
      <c r="Y27" s="346"/>
      <c r="Z27" s="346"/>
      <c r="AA27" s="346"/>
    </row>
    <row r="28" spans="1:33" x14ac:dyDescent="0.2">
      <c r="A28" s="390" t="s">
        <v>465</v>
      </c>
      <c r="B28" s="348"/>
      <c r="C28" s="348"/>
      <c r="D28" s="348"/>
      <c r="E28" s="348"/>
      <c r="F28" s="348"/>
      <c r="G28" s="348"/>
      <c r="H28" s="348"/>
      <c r="I28" s="352"/>
      <c r="S28" s="298"/>
      <c r="T28" s="298"/>
    </row>
    <row r="29" spans="1:33" x14ac:dyDescent="0.2">
      <c r="A29" s="390" t="s">
        <v>466</v>
      </c>
      <c r="B29" s="348"/>
      <c r="C29" s="348"/>
      <c r="D29" s="348"/>
      <c r="E29" s="348"/>
      <c r="F29" s="348"/>
      <c r="G29" s="348"/>
      <c r="H29" s="348"/>
      <c r="I29" s="352"/>
      <c r="K29" s="303"/>
      <c r="S29" s="298"/>
      <c r="T29" s="298"/>
    </row>
    <row r="30" spans="1:33" x14ac:dyDescent="0.2">
      <c r="A30" s="351" t="s">
        <v>467</v>
      </c>
      <c r="B30" s="348"/>
      <c r="C30" s="348"/>
      <c r="D30" s="348"/>
      <c r="E30" s="348"/>
      <c r="F30" s="348"/>
      <c r="G30" s="348"/>
      <c r="H30" s="348"/>
      <c r="I30" s="352"/>
      <c r="S30" s="298"/>
      <c r="T30" s="298"/>
    </row>
    <row r="31" spans="1:33" x14ac:dyDescent="0.2">
      <c r="A31" s="391" t="s">
        <v>459</v>
      </c>
      <c r="B31" s="348"/>
      <c r="C31" s="348"/>
      <c r="D31" s="348"/>
      <c r="E31" s="348"/>
      <c r="F31" s="348"/>
      <c r="G31" s="348"/>
      <c r="H31" s="348"/>
      <c r="I31" s="352"/>
      <c r="S31" s="298"/>
      <c r="T31" s="298"/>
    </row>
    <row r="32" spans="1:33" x14ac:dyDescent="0.2">
      <c r="A32" s="351" t="s">
        <v>468</v>
      </c>
      <c r="B32" s="348"/>
      <c r="C32" s="348"/>
      <c r="D32" s="348"/>
      <c r="E32" s="348"/>
      <c r="F32" s="348"/>
      <c r="G32" s="348"/>
      <c r="H32" s="348"/>
      <c r="I32" s="352"/>
      <c r="S32" s="298"/>
      <c r="T32" s="298"/>
    </row>
    <row r="33" spans="1:20" x14ac:dyDescent="0.2">
      <c r="A33" s="390" t="s">
        <v>470</v>
      </c>
      <c r="B33" s="348"/>
      <c r="C33" s="348"/>
      <c r="D33" s="348"/>
      <c r="E33" s="348"/>
      <c r="F33" s="348"/>
      <c r="G33" s="348"/>
      <c r="H33" s="348"/>
      <c r="I33" s="352"/>
      <c r="S33" s="298"/>
      <c r="T33" s="298"/>
    </row>
    <row r="34" spans="1:20" x14ac:dyDescent="0.2">
      <c r="A34" s="390" t="s">
        <v>460</v>
      </c>
      <c r="B34" s="348"/>
      <c r="C34" s="348"/>
      <c r="D34" s="348"/>
      <c r="E34" s="348"/>
      <c r="F34" s="348"/>
      <c r="G34" s="348"/>
      <c r="H34" s="348"/>
      <c r="I34" s="352"/>
      <c r="S34" s="298"/>
      <c r="T34" s="298"/>
    </row>
    <row r="35" spans="1:20" x14ac:dyDescent="0.2">
      <c r="A35" s="353" t="s">
        <v>469</v>
      </c>
      <c r="B35" s="354"/>
      <c r="C35" s="354"/>
      <c r="D35" s="354"/>
      <c r="E35" s="354"/>
      <c r="F35" s="354"/>
      <c r="G35" s="354"/>
      <c r="H35" s="354"/>
      <c r="I35" s="355"/>
      <c r="S35" s="298"/>
      <c r="T35" s="298"/>
    </row>
    <row r="36" spans="1:20" x14ac:dyDescent="0.2">
      <c r="S36" s="298"/>
      <c r="T36" s="298"/>
    </row>
    <row r="37" spans="1:20" x14ac:dyDescent="0.2">
      <c r="S37" s="298"/>
      <c r="T37" s="298"/>
    </row>
    <row r="38" spans="1:20" x14ac:dyDescent="0.2">
      <c r="S38" s="298"/>
      <c r="T38" s="298"/>
    </row>
    <row r="39" spans="1:20" x14ac:dyDescent="0.2">
      <c r="S39" s="298"/>
      <c r="T39" s="298"/>
    </row>
    <row r="40" spans="1:20" x14ac:dyDescent="0.2">
      <c r="S40" s="298"/>
      <c r="T40" s="298"/>
    </row>
  </sheetData>
  <sheetProtection algorithmName="SHA-512" hashValue="//hUIZfKGx+fony+WtEOj1x83foyY8TL0mXDmLZpksDMpFo9eh9+ez3UoVPoNF8gbwV4PbYQlPlHfMiykbYOkQ==" saltValue="K6zkaUazCMyU0SzZRqKkeA==" spinCount="100000" sheet="1" objects="1" scenarios="1"/>
  <mergeCells count="9">
    <mergeCell ref="K4:R5"/>
    <mergeCell ref="K3:R3"/>
    <mergeCell ref="K6:R8"/>
    <mergeCell ref="D16:I16"/>
    <mergeCell ref="A1:I1"/>
    <mergeCell ref="A2:B2"/>
    <mergeCell ref="C2:D2"/>
    <mergeCell ref="D6:I6"/>
    <mergeCell ref="D14:I14"/>
  </mergeCells>
  <conditionalFormatting sqref="D7">
    <cfRule type="expression" dxfId="4" priority="5">
      <formula>$D$7&gt;250000</formula>
    </cfRule>
  </conditionalFormatting>
  <conditionalFormatting sqref="E7">
    <cfRule type="expression" dxfId="3" priority="4">
      <formula>$E$7&gt;250000</formula>
    </cfRule>
  </conditionalFormatting>
  <conditionalFormatting sqref="F7">
    <cfRule type="expression" dxfId="2" priority="3">
      <formula>$F$7&gt;250000</formula>
    </cfRule>
  </conditionalFormatting>
  <conditionalFormatting sqref="G7">
    <cfRule type="expression" dxfId="1" priority="2">
      <formula>$G$7&gt;250000</formula>
    </cfRule>
  </conditionalFormatting>
  <conditionalFormatting sqref="H7">
    <cfRule type="expression" dxfId="0" priority="1">
      <formula>$H$7&gt;250000</formula>
    </cfRule>
  </conditionalFormatting>
  <hyperlinks>
    <hyperlink ref="A31" r:id="rId1" display="http://grants.nih.gov/grants/funding/modular/modular_faq_pub.htm" xr:uid="{00000000-0004-0000-0A00-000000000000}"/>
  </hyperlinks>
  <pageMargins left="0.25" right="0.25" top="0.5" bottom="0.5" header="0.3" footer="0.3"/>
  <pageSetup orientation="portrait" verticalDpi="3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5"/>
  <sheetViews>
    <sheetView workbookViewId="0">
      <selection sqref="A1:I1"/>
    </sheetView>
  </sheetViews>
  <sheetFormatPr defaultColWidth="8.85546875" defaultRowHeight="12.75" x14ac:dyDescent="0.2"/>
  <cols>
    <col min="1" max="1" width="7.7109375" style="298" customWidth="1"/>
    <col min="2" max="2" width="12.7109375" style="298" customWidth="1"/>
    <col min="3" max="3" width="15.5703125" style="298" customWidth="1"/>
    <col min="4" max="9" width="11" style="298" customWidth="1"/>
    <col min="10" max="16384" width="8.85546875" style="298"/>
  </cols>
  <sheetData>
    <row r="1" spans="1:10" ht="18" x14ac:dyDescent="0.2">
      <c r="A1" s="769" t="s">
        <v>435</v>
      </c>
      <c r="B1" s="769"/>
      <c r="C1" s="769"/>
      <c r="D1" s="769"/>
      <c r="E1" s="769"/>
      <c r="F1" s="769"/>
      <c r="G1" s="769"/>
      <c r="H1" s="769"/>
      <c r="I1" s="769"/>
    </row>
    <row r="2" spans="1:10" ht="14.45" customHeight="1" x14ac:dyDescent="0.2">
      <c r="A2" s="770" t="s">
        <v>116</v>
      </c>
      <c r="B2" s="770"/>
      <c r="C2" s="770" t="str">
        <f>CONCATENATE('Personnel Yr 1'!B7, IF(OR(ISBLANK('Personnel Yr 1'!B7),'Personnel Yr 1'!B7=""),""," "),'Personnel Yr 1'!C7, " ",'Personnel Yr 1'!D7,IF(OR(ISBLANK('Personnel Yr 1'!D7),'Personnel Yr 1'!D7=""),""," "),'Personnel Yr 1'!E7," ",'Personnel Yr 1'!F7)</f>
        <v xml:space="preserve">  </v>
      </c>
      <c r="D2" s="770"/>
      <c r="E2" s="314" t="s">
        <v>203</v>
      </c>
      <c r="F2" s="314">
        <f>'Personnel Yr 1'!O4</f>
        <v>0</v>
      </c>
      <c r="H2" s="307" t="s">
        <v>94</v>
      </c>
      <c r="I2" s="320">
        <f>'Personnel Yr 1'!I5</f>
        <v>0</v>
      </c>
    </row>
    <row r="3" spans="1:10" ht="14.45" customHeight="1" thickBot="1" x14ac:dyDescent="0.25">
      <c r="A3" s="318"/>
      <c r="D3" s="303"/>
      <c r="F3" s="319"/>
    </row>
    <row r="4" spans="1:10" ht="14.45" customHeight="1" thickBot="1" x14ac:dyDescent="0.25">
      <c r="A4" s="318"/>
      <c r="C4" s="302" t="s">
        <v>434</v>
      </c>
      <c r="D4" s="317">
        <f>ROUND(('Non-personnel'!H52-'Non-personnel'!I90)/25000,0)</f>
        <v>0</v>
      </c>
      <c r="E4" s="316">
        <f>ROUND(('Non-personnel'!J52-'Non-personnel'!K90)/25000,0)</f>
        <v>0</v>
      </c>
      <c r="F4" s="316">
        <f>ROUND(('Non-personnel'!L52-'Non-personnel'!M90)/25000,0)</f>
        <v>0</v>
      </c>
      <c r="G4" s="316">
        <f>ROUND(('Non-personnel'!N52-'Non-personnel'!O90)/25000,0)</f>
        <v>0</v>
      </c>
      <c r="H4" s="316">
        <f>ROUND(('Non-personnel'!P52-'Non-personnel'!Q90)/25000,0)</f>
        <v>0</v>
      </c>
      <c r="I4" s="315">
        <f>SUM(D4:H4)</f>
        <v>0</v>
      </c>
    </row>
    <row r="5" spans="1:10" ht="14.45" customHeight="1" thickBot="1" x14ac:dyDescent="0.25">
      <c r="B5" s="314"/>
      <c r="C5" s="302"/>
      <c r="D5" s="307" t="s">
        <v>32</v>
      </c>
      <c r="E5" s="307" t="s">
        <v>33</v>
      </c>
      <c r="F5" s="307" t="s">
        <v>34</v>
      </c>
      <c r="G5" s="307" t="s">
        <v>35</v>
      </c>
      <c r="H5" s="307" t="s">
        <v>36</v>
      </c>
      <c r="I5" s="307" t="s">
        <v>37</v>
      </c>
    </row>
    <row r="6" spans="1:10" ht="14.45" customHeight="1" x14ac:dyDescent="0.2">
      <c r="A6" s="307" t="s">
        <v>433</v>
      </c>
      <c r="B6" s="314"/>
      <c r="C6" s="302"/>
      <c r="D6" s="771" t="s">
        <v>425</v>
      </c>
      <c r="E6" s="772"/>
      <c r="F6" s="772"/>
      <c r="G6" s="772"/>
      <c r="H6" s="772"/>
      <c r="I6" s="773"/>
    </row>
    <row r="7" spans="1:10" ht="14.45" customHeight="1" x14ac:dyDescent="0.2">
      <c r="C7" s="302" t="s">
        <v>432</v>
      </c>
      <c r="D7" s="310">
        <f>D4*25000</f>
        <v>0</v>
      </c>
      <c r="E7" s="309">
        <f>E4*25000</f>
        <v>0</v>
      </c>
      <c r="F7" s="309">
        <f>F4*25000</f>
        <v>0</v>
      </c>
      <c r="G7" s="309">
        <f>G4*25000</f>
        <v>0</v>
      </c>
      <c r="H7" s="309">
        <f>H4*25000</f>
        <v>0</v>
      </c>
      <c r="I7" s="308">
        <f>SUM(D7:H7)</f>
        <v>0</v>
      </c>
      <c r="J7" s="303"/>
    </row>
    <row r="8" spans="1:10" ht="14.45" customHeight="1" x14ac:dyDescent="0.2">
      <c r="C8" s="302" t="s">
        <v>431</v>
      </c>
      <c r="D8" s="310">
        <f>'Non-personnel'!I90</f>
        <v>0</v>
      </c>
      <c r="E8" s="309">
        <f>'Non-personnel'!K90</f>
        <v>0</v>
      </c>
      <c r="F8" s="309">
        <f>'Non-personnel'!M90</f>
        <v>0</v>
      </c>
      <c r="G8" s="309">
        <f>'Non-personnel'!O90</f>
        <v>0</v>
      </c>
      <c r="H8" s="309">
        <f>'Non-personnel'!Q90</f>
        <v>0</v>
      </c>
      <c r="I8" s="308">
        <f>SUM(D8:H8)</f>
        <v>0</v>
      </c>
    </row>
    <row r="9" spans="1:10" ht="14.45" customHeight="1" x14ac:dyDescent="0.2">
      <c r="C9" s="302" t="s">
        <v>430</v>
      </c>
      <c r="D9" s="310">
        <f>SUM(D7:D8)</f>
        <v>0</v>
      </c>
      <c r="E9" s="309">
        <f>SUM(E7:E8)</f>
        <v>0</v>
      </c>
      <c r="F9" s="309">
        <f>SUM(F7:F8)</f>
        <v>0</v>
      </c>
      <c r="G9" s="309">
        <f>SUM(G7:G8)</f>
        <v>0</v>
      </c>
      <c r="H9" s="309">
        <f>SUM(H7:H8)</f>
        <v>0</v>
      </c>
      <c r="I9" s="308">
        <f>SUM(D9:H9)</f>
        <v>0</v>
      </c>
    </row>
    <row r="10" spans="1:10" ht="14.45" customHeight="1" x14ac:dyDescent="0.2">
      <c r="A10" s="307" t="s">
        <v>429</v>
      </c>
      <c r="C10" s="302"/>
      <c r="D10" s="310"/>
      <c r="E10" s="309"/>
      <c r="F10" s="309"/>
      <c r="G10" s="309"/>
      <c r="H10" s="309"/>
      <c r="I10" s="308"/>
    </row>
    <row r="11" spans="1:10" ht="14.45" customHeight="1" x14ac:dyDescent="0.2">
      <c r="C11" s="302" t="s">
        <v>428</v>
      </c>
      <c r="D11" s="310" t="str">
        <f>'Non-personnel'!B57</f>
        <v>MTDC-Fed</v>
      </c>
      <c r="E11" s="309" t="str">
        <f>'Non-personnel'!B58</f>
        <v>MTDC-Fed</v>
      </c>
      <c r="F11" s="309" t="str">
        <f>'Non-personnel'!B59</f>
        <v>MTDC-Fed</v>
      </c>
      <c r="G11" s="309" t="str">
        <f>'Non-personnel'!B60</f>
        <v>MTDC-Fed</v>
      </c>
      <c r="H11" s="309" t="str">
        <f>'Non-personnel'!B61</f>
        <v>MTDC-Fed</v>
      </c>
      <c r="I11" s="308"/>
    </row>
    <row r="12" spans="1:10" ht="14.45" customHeight="1" x14ac:dyDescent="0.2">
      <c r="C12" s="302" t="s">
        <v>427</v>
      </c>
      <c r="D12" s="313">
        <f>IFERROR(LOOKUP('Non-personnel'!C57,IDCDesc,IDCRate),'Non-personnel'!C57)</f>
        <v>0.495</v>
      </c>
      <c r="E12" s="312">
        <f>IFERROR(LOOKUP('Non-personnel'!C58,IDCDesc,IDCRate),'Non-personnel'!C58)</f>
        <v>0.495</v>
      </c>
      <c r="F12" s="312">
        <f>IFERROR(LOOKUP('Non-personnel'!C59,IDCDesc,IDCRate),'Non-personnel'!C59)</f>
        <v>0.495</v>
      </c>
      <c r="G12" s="312">
        <f>IFERROR(LOOKUP('Non-personnel'!C60,IDCDesc,IDCRate),'Non-personnel'!C60)</f>
        <v>0.495</v>
      </c>
      <c r="H12" s="312">
        <f>IFERROR(LOOKUP('Non-personnel'!C61,IDCDesc,IDCRate),'Non-personnel'!C61)</f>
        <v>0.495</v>
      </c>
      <c r="I12" s="308"/>
    </row>
    <row r="13" spans="1:10" ht="14.45" customHeight="1" x14ac:dyDescent="0.2">
      <c r="C13" s="302" t="s">
        <v>426</v>
      </c>
      <c r="D13" s="310">
        <f>'Non-personnel'!F57-'Non-personnel'!H52+D9</f>
        <v>0</v>
      </c>
      <c r="E13" s="309">
        <f>IF(OR(ISBLANK('Non-personnel'!F58),'Non-personnel'!F58=""),0,'Non-personnel'!F58)-'Non-personnel'!J52+E9</f>
        <v>0</v>
      </c>
      <c r="F13" s="309">
        <f>IF(OR(ISBLANK('Non-personnel'!F59),'Non-personnel'!F59=""),0,'Non-personnel'!F59)-'Non-personnel'!L52+F9</f>
        <v>0</v>
      </c>
      <c r="G13" s="309">
        <f>IF(OR(ISBLANK('Non-personnel'!F60),'Non-personnel'!F60=""),0,'Non-personnel'!F60)-'Non-personnel'!N52+G9</f>
        <v>0</v>
      </c>
      <c r="H13" s="309">
        <f>IF(OR(ISBLANK('Non-personnel'!F61),'Non-personnel'!F61=""),0,'Non-personnel'!F61)-'Non-personnel'!P52+H9</f>
        <v>0</v>
      </c>
      <c r="I13" s="308">
        <f>SUM(D13:H13)</f>
        <v>0</v>
      </c>
    </row>
    <row r="14" spans="1:10" ht="14.45" customHeight="1" x14ac:dyDescent="0.2">
      <c r="B14" s="311"/>
      <c r="D14" s="766" t="s">
        <v>425</v>
      </c>
      <c r="E14" s="767"/>
      <c r="F14" s="767"/>
      <c r="G14" s="767"/>
      <c r="H14" s="767"/>
      <c r="I14" s="768"/>
    </row>
    <row r="15" spans="1:10" ht="14.45" customHeight="1" x14ac:dyDescent="0.2">
      <c r="B15" s="311"/>
      <c r="C15" s="302" t="s">
        <v>30</v>
      </c>
      <c r="D15" s="310">
        <f>D12*D13</f>
        <v>0</v>
      </c>
      <c r="E15" s="309">
        <f>E12*E13</f>
        <v>0</v>
      </c>
      <c r="F15" s="309">
        <f>F12*F13</f>
        <v>0</v>
      </c>
      <c r="G15" s="309">
        <f>G12*G13</f>
        <v>0</v>
      </c>
      <c r="H15" s="309">
        <f>H12*H13</f>
        <v>0</v>
      </c>
      <c r="I15" s="308">
        <f>SUM(D15:H15)</f>
        <v>0</v>
      </c>
    </row>
    <row r="16" spans="1:10" ht="14.45" customHeight="1" x14ac:dyDescent="0.2">
      <c r="C16" s="302"/>
      <c r="D16" s="766" t="s">
        <v>424</v>
      </c>
      <c r="E16" s="767"/>
      <c r="F16" s="767"/>
      <c r="G16" s="767"/>
      <c r="H16" s="767"/>
      <c r="I16" s="768"/>
    </row>
    <row r="17" spans="1:9" ht="14.45" customHeight="1" thickBot="1" x14ac:dyDescent="0.25">
      <c r="A17" s="307" t="s">
        <v>423</v>
      </c>
      <c r="C17" s="302"/>
      <c r="D17" s="306">
        <f>SUM(D9,D15)</f>
        <v>0</v>
      </c>
      <c r="E17" s="305">
        <f>SUM(E9,E15)</f>
        <v>0</v>
      </c>
      <c r="F17" s="305">
        <f>SUM(F9,F15)</f>
        <v>0</v>
      </c>
      <c r="G17" s="305">
        <f>SUM(G9,G15)</f>
        <v>0</v>
      </c>
      <c r="H17" s="305">
        <f>SUM(H9,H15)</f>
        <v>0</v>
      </c>
      <c r="I17" s="304">
        <f>SUM(D17:H17)</f>
        <v>0</v>
      </c>
    </row>
    <row r="18" spans="1:9" ht="14.45" customHeight="1" thickBot="1" x14ac:dyDescent="0.25">
      <c r="D18" s="303"/>
      <c r="E18" s="303"/>
      <c r="F18" s="303"/>
      <c r="G18" s="303"/>
      <c r="H18" s="303"/>
      <c r="I18" s="303"/>
    </row>
    <row r="19" spans="1:9" ht="14.45" customHeight="1" thickBot="1" x14ac:dyDescent="0.25">
      <c r="C19" s="302" t="s">
        <v>422</v>
      </c>
      <c r="D19" s="301">
        <f>ROUNDUP(SUM('Non-personnel'!H90,'Non-personnel'!I90)/1000,0) * 1000</f>
        <v>0</v>
      </c>
      <c r="E19" s="300">
        <f>ROUNDUP(SUM('Non-personnel'!J90,'Non-personnel'!K90)/1000,0)*1000</f>
        <v>0</v>
      </c>
      <c r="F19" s="300">
        <f>ROUNDUP(SUM('Non-personnel'!L90,'Non-personnel'!M90)/1000,0)*1000</f>
        <v>0</v>
      </c>
      <c r="G19" s="300">
        <f>ROUNDUP(SUM('Non-personnel'!N90,'Non-personnel'!O90)/1000,0)*1000</f>
        <v>0</v>
      </c>
      <c r="H19" s="300">
        <f>ROUNDUP(SUM('Non-personnel'!P90,'Non-personnel'!Q90)/1000,0)*1000</f>
        <v>0</v>
      </c>
      <c r="I19" s="299">
        <f>SUM(D19:H19)</f>
        <v>0</v>
      </c>
    </row>
    <row r="21" spans="1:9" x14ac:dyDescent="0.2">
      <c r="A21" s="347" t="s">
        <v>421</v>
      </c>
      <c r="B21" s="348"/>
      <c r="C21" s="348"/>
      <c r="D21" s="348"/>
      <c r="E21" s="348"/>
      <c r="F21" s="348"/>
      <c r="G21" s="348"/>
      <c r="H21" s="348"/>
      <c r="I21" s="348"/>
    </row>
    <row r="22" spans="1:9" x14ac:dyDescent="0.2">
      <c r="A22" s="389" t="s">
        <v>458</v>
      </c>
      <c r="B22" s="349"/>
      <c r="C22" s="349"/>
      <c r="D22" s="349"/>
      <c r="E22" s="349"/>
      <c r="F22" s="349"/>
      <c r="G22" s="349"/>
      <c r="H22" s="349"/>
      <c r="I22" s="350"/>
    </row>
    <row r="23" spans="1:9" x14ac:dyDescent="0.2">
      <c r="A23" s="390" t="s">
        <v>457</v>
      </c>
      <c r="B23" s="348"/>
      <c r="C23" s="348"/>
      <c r="D23" s="348"/>
      <c r="E23" s="348"/>
      <c r="F23" s="348"/>
      <c r="G23" s="348"/>
      <c r="H23" s="348"/>
      <c r="I23" s="352"/>
    </row>
    <row r="24" spans="1:9" x14ac:dyDescent="0.2">
      <c r="A24" s="351" t="s">
        <v>462</v>
      </c>
      <c r="B24" s="348"/>
      <c r="C24" s="348"/>
      <c r="D24" s="348"/>
      <c r="E24" s="348"/>
      <c r="F24" s="348"/>
      <c r="G24" s="348"/>
      <c r="H24" s="348"/>
      <c r="I24" s="352"/>
    </row>
    <row r="25" spans="1:9" x14ac:dyDescent="0.2">
      <c r="A25" s="390" t="s">
        <v>461</v>
      </c>
      <c r="B25" s="348"/>
      <c r="C25" s="348"/>
      <c r="D25" s="348"/>
      <c r="E25" s="348"/>
      <c r="F25" s="348"/>
      <c r="G25" s="348"/>
      <c r="H25" s="348"/>
      <c r="I25" s="352"/>
    </row>
    <row r="26" spans="1:9" x14ac:dyDescent="0.2">
      <c r="A26" s="392" t="s">
        <v>463</v>
      </c>
      <c r="B26" s="348"/>
      <c r="C26" s="348"/>
      <c r="D26" s="348"/>
      <c r="E26" s="348"/>
      <c r="F26" s="348"/>
      <c r="G26" s="348"/>
      <c r="H26" s="348"/>
      <c r="I26" s="352"/>
    </row>
    <row r="27" spans="1:9" x14ac:dyDescent="0.2">
      <c r="A27" s="390" t="s">
        <v>464</v>
      </c>
      <c r="B27" s="348"/>
      <c r="C27" s="348"/>
      <c r="D27" s="348"/>
      <c r="E27" s="348"/>
      <c r="F27" s="348"/>
      <c r="G27" s="348"/>
      <c r="H27" s="348"/>
      <c r="I27" s="352"/>
    </row>
    <row r="28" spans="1:9" x14ac:dyDescent="0.2">
      <c r="A28" s="390" t="s">
        <v>465</v>
      </c>
      <c r="B28" s="348"/>
      <c r="C28" s="348"/>
      <c r="D28" s="348"/>
      <c r="E28" s="348"/>
      <c r="F28" s="348"/>
      <c r="G28" s="348"/>
      <c r="H28" s="348"/>
      <c r="I28" s="352"/>
    </row>
    <row r="29" spans="1:9" x14ac:dyDescent="0.2">
      <c r="A29" s="390" t="s">
        <v>466</v>
      </c>
      <c r="B29" s="348"/>
      <c r="C29" s="348"/>
      <c r="D29" s="348"/>
      <c r="E29" s="348"/>
      <c r="F29" s="348"/>
      <c r="G29" s="348"/>
      <c r="H29" s="348"/>
      <c r="I29" s="352"/>
    </row>
    <row r="30" spans="1:9" x14ac:dyDescent="0.2">
      <c r="A30" s="351" t="s">
        <v>467</v>
      </c>
      <c r="B30" s="348"/>
      <c r="C30" s="348"/>
      <c r="D30" s="348"/>
      <c r="E30" s="348"/>
      <c r="F30" s="348"/>
      <c r="G30" s="348"/>
      <c r="H30" s="348"/>
      <c r="I30" s="352"/>
    </row>
    <row r="31" spans="1:9" x14ac:dyDescent="0.2">
      <c r="A31" s="391" t="s">
        <v>459</v>
      </c>
      <c r="B31" s="348"/>
      <c r="C31" s="348"/>
      <c r="D31" s="348"/>
      <c r="E31" s="348"/>
      <c r="F31" s="348"/>
      <c r="G31" s="348"/>
      <c r="H31" s="348"/>
      <c r="I31" s="352"/>
    </row>
    <row r="32" spans="1:9" x14ac:dyDescent="0.2">
      <c r="A32" s="351" t="s">
        <v>468</v>
      </c>
      <c r="B32" s="348"/>
      <c r="C32" s="348"/>
      <c r="D32" s="348"/>
      <c r="E32" s="348"/>
      <c r="F32" s="348"/>
      <c r="G32" s="348"/>
      <c r="H32" s="348"/>
      <c r="I32" s="352"/>
    </row>
    <row r="33" spans="1:9" x14ac:dyDescent="0.2">
      <c r="A33" s="390" t="s">
        <v>470</v>
      </c>
      <c r="B33" s="348"/>
      <c r="C33" s="348"/>
      <c r="D33" s="348"/>
      <c r="E33" s="348"/>
      <c r="F33" s="348"/>
      <c r="G33" s="348"/>
      <c r="H33" s="348"/>
      <c r="I33" s="352"/>
    </row>
    <row r="34" spans="1:9" x14ac:dyDescent="0.2">
      <c r="A34" s="390" t="s">
        <v>460</v>
      </c>
      <c r="B34" s="348"/>
      <c r="C34" s="348"/>
      <c r="D34" s="348"/>
      <c r="E34" s="348"/>
      <c r="F34" s="348"/>
      <c r="G34" s="348"/>
      <c r="H34" s="348"/>
      <c r="I34" s="352"/>
    </row>
    <row r="35" spans="1:9" x14ac:dyDescent="0.2">
      <c r="A35" s="353" t="s">
        <v>469</v>
      </c>
      <c r="B35" s="354"/>
      <c r="C35" s="354"/>
      <c r="D35" s="354"/>
      <c r="E35" s="354"/>
      <c r="F35" s="354"/>
      <c r="G35" s="354"/>
      <c r="H35" s="354"/>
      <c r="I35" s="355"/>
    </row>
  </sheetData>
  <sheetProtection algorithmName="SHA-512" hashValue="hp2utaCCQRM+YVCelgyDzjhY+RNu+D1XY5HGEtjz3FhrNtYBD4cmMgQLvZtV01GZNDAVoRHLd53AOYfygzdslA==" saltValue="0VsGMmvYrQCOvK4lZX6hUw==" spinCount="100000" sheet="1" objects="1" scenarios="1"/>
  <mergeCells count="6">
    <mergeCell ref="D16:I16"/>
    <mergeCell ref="D14:I14"/>
    <mergeCell ref="D6:I6"/>
    <mergeCell ref="A1:I1"/>
    <mergeCell ref="C2:D2"/>
    <mergeCell ref="A2:B2"/>
  </mergeCells>
  <hyperlinks>
    <hyperlink ref="A31" r:id="rId1" display="http://grants.nih.gov/grants/funding/modular/modular_faq_pub.htm" xr:uid="{00000000-0004-0000-0B00-000000000000}"/>
  </hyperlinks>
  <pageMargins left="0.25" right="0.25" top="0.5" bottom="0.5" header="0.3" footer="0.3"/>
  <pageSetup orientation="portrait"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4"/>
  <sheetViews>
    <sheetView workbookViewId="0">
      <selection sqref="A1:G1"/>
    </sheetView>
  </sheetViews>
  <sheetFormatPr defaultRowHeight="12.75" x14ac:dyDescent="0.2"/>
  <cols>
    <col min="1" max="1" width="10.28515625" bestFit="1" customWidth="1"/>
    <col min="3" max="6" width="9.28515625" bestFit="1" customWidth="1"/>
    <col min="7" max="7" width="9.5703125" bestFit="1" customWidth="1"/>
  </cols>
  <sheetData>
    <row r="1" spans="1:7" ht="18" x14ac:dyDescent="0.25">
      <c r="A1" s="539" t="s">
        <v>453</v>
      </c>
      <c r="B1" s="539"/>
      <c r="C1" s="539"/>
      <c r="D1" s="539"/>
      <c r="E1" s="539"/>
      <c r="F1" s="539"/>
      <c r="G1" s="539"/>
    </row>
    <row r="2" spans="1:7" ht="13.5" thickBot="1" x14ac:dyDescent="0.25"/>
    <row r="3" spans="1:7" ht="13.5" thickBot="1" x14ac:dyDescent="0.25">
      <c r="A3" s="365" t="s">
        <v>119</v>
      </c>
      <c r="B3" s="366" t="s">
        <v>32</v>
      </c>
      <c r="C3" s="367" t="s">
        <v>33</v>
      </c>
      <c r="D3" s="367" t="s">
        <v>34</v>
      </c>
      <c r="E3" s="367" t="s">
        <v>35</v>
      </c>
      <c r="F3" s="368" t="s">
        <v>36</v>
      </c>
      <c r="G3" s="369" t="s">
        <v>37</v>
      </c>
    </row>
    <row r="4" spans="1:7" x14ac:dyDescent="0.2">
      <c r="A4" s="439" t="s">
        <v>533</v>
      </c>
      <c r="B4" s="440">
        <f>'File Copy'!D42</f>
        <v>0</v>
      </c>
      <c r="C4" s="440">
        <f>'File Copy'!E42</f>
        <v>0</v>
      </c>
      <c r="D4" s="440">
        <f>'File Copy'!F42</f>
        <v>0</v>
      </c>
      <c r="E4" s="440">
        <f>'File Copy'!G42</f>
        <v>0</v>
      </c>
      <c r="F4" s="440">
        <f>'File Copy'!H42</f>
        <v>0</v>
      </c>
      <c r="G4" s="374">
        <f>'File Copy'!I42</f>
        <v>0</v>
      </c>
    </row>
    <row r="5" spans="1:7" x14ac:dyDescent="0.2">
      <c r="A5" s="362" t="s">
        <v>534</v>
      </c>
      <c r="B5" s="371">
        <f>'File Copy'!D40</f>
        <v>0</v>
      </c>
      <c r="C5" s="372">
        <f>'File Copy'!E40</f>
        <v>0</v>
      </c>
      <c r="D5" s="372">
        <f>'File Copy'!F40</f>
        <v>0</v>
      </c>
      <c r="E5" s="372">
        <f>'File Copy'!G40</f>
        <v>0</v>
      </c>
      <c r="F5" s="373">
        <f>'File Copy'!H40</f>
        <v>0</v>
      </c>
      <c r="G5" s="374">
        <f>'File Copy'!I40</f>
        <v>0</v>
      </c>
    </row>
    <row r="6" spans="1:7" x14ac:dyDescent="0.2">
      <c r="A6" s="362" t="s">
        <v>535</v>
      </c>
      <c r="B6" s="371">
        <f>'File Copy'!D41</f>
        <v>0</v>
      </c>
      <c r="C6" s="372">
        <f>'File Copy'!E41</f>
        <v>0</v>
      </c>
      <c r="D6" s="372">
        <f>'File Copy'!F41</f>
        <v>0</v>
      </c>
      <c r="E6" s="372">
        <f>'File Copy'!G41</f>
        <v>0</v>
      </c>
      <c r="F6" s="373">
        <f>'File Copy'!H41</f>
        <v>0</v>
      </c>
      <c r="G6" s="374">
        <f>'File Copy'!I41</f>
        <v>0</v>
      </c>
    </row>
    <row r="7" spans="1:7" x14ac:dyDescent="0.2">
      <c r="A7" s="364" t="s">
        <v>122</v>
      </c>
      <c r="B7" s="371">
        <f>'File Copy'!D38</f>
        <v>0</v>
      </c>
      <c r="C7" s="372">
        <f>'File Copy'!E38</f>
        <v>0</v>
      </c>
      <c r="D7" s="372">
        <f>'File Copy'!F38</f>
        <v>0</v>
      </c>
      <c r="E7" s="372">
        <f>'File Copy'!G38</f>
        <v>0</v>
      </c>
      <c r="F7" s="373">
        <f>'File Copy'!H38</f>
        <v>0</v>
      </c>
      <c r="G7" s="374">
        <f>'File Copy'!I38</f>
        <v>0</v>
      </c>
    </row>
    <row r="8" spans="1:7" x14ac:dyDescent="0.2">
      <c r="A8" s="360" t="s">
        <v>123</v>
      </c>
      <c r="B8" s="160">
        <f>'File Copy'!D37</f>
        <v>0</v>
      </c>
      <c r="C8" s="161">
        <f>'File Copy'!E37</f>
        <v>0</v>
      </c>
      <c r="D8" s="161">
        <f>'File Copy'!F37</f>
        <v>0</v>
      </c>
      <c r="E8" s="161">
        <f>'File Copy'!G37</f>
        <v>0</v>
      </c>
      <c r="F8" s="375">
        <f>'File Copy'!H37</f>
        <v>0</v>
      </c>
      <c r="G8" s="376">
        <f>'File Copy'!I37</f>
        <v>0</v>
      </c>
    </row>
    <row r="9" spans="1:7" x14ac:dyDescent="0.2">
      <c r="A9" s="361" t="s">
        <v>400</v>
      </c>
      <c r="B9" s="160">
        <f>'File Copy'!D43</f>
        <v>0</v>
      </c>
      <c r="C9" s="161">
        <f>'File Copy'!E43</f>
        <v>0</v>
      </c>
      <c r="D9" s="161">
        <f>'File Copy'!F43</f>
        <v>0</v>
      </c>
      <c r="E9" s="161">
        <f>'File Copy'!G43</f>
        <v>0</v>
      </c>
      <c r="F9" s="375">
        <f>'File Copy'!H43</f>
        <v>0</v>
      </c>
      <c r="G9" s="376">
        <f>'File Copy'!I43</f>
        <v>0</v>
      </c>
    </row>
    <row r="10" spans="1:7" x14ac:dyDescent="0.2">
      <c r="A10" s="360" t="s">
        <v>133</v>
      </c>
      <c r="B10" s="160">
        <f>'File Copy'!D109</f>
        <v>0</v>
      </c>
      <c r="C10" s="161">
        <f>'File Copy'!E109</f>
        <v>0</v>
      </c>
      <c r="D10" s="161">
        <f>'File Copy'!F109</f>
        <v>0</v>
      </c>
      <c r="E10" s="161">
        <f>'File Copy'!G109</f>
        <v>0</v>
      </c>
      <c r="F10" s="375">
        <f>'File Copy'!H109</f>
        <v>0</v>
      </c>
      <c r="G10" s="376">
        <f>'File Copy'!I109</f>
        <v>0</v>
      </c>
    </row>
    <row r="11" spans="1:7" x14ac:dyDescent="0.2">
      <c r="A11" s="360" t="s">
        <v>134</v>
      </c>
      <c r="B11" s="160">
        <f>'File Copy'!D111</f>
        <v>0</v>
      </c>
      <c r="C11" s="161">
        <f>'File Copy'!E111</f>
        <v>0</v>
      </c>
      <c r="D11" s="161">
        <f>'File Copy'!F111</f>
        <v>0</v>
      </c>
      <c r="E11" s="161">
        <f>'File Copy'!G111</f>
        <v>0</v>
      </c>
      <c r="F11" s="375">
        <f>'File Copy'!H111</f>
        <v>0</v>
      </c>
      <c r="G11" s="376">
        <f>'File Copy'!I111</f>
        <v>0</v>
      </c>
    </row>
    <row r="12" spans="1:7" x14ac:dyDescent="0.2">
      <c r="A12" s="362" t="s">
        <v>405</v>
      </c>
      <c r="B12" s="160">
        <f>'File Copy'!D105</f>
        <v>0</v>
      </c>
      <c r="C12" s="161">
        <f>'File Copy'!E105</f>
        <v>0</v>
      </c>
      <c r="D12" s="161">
        <f>'File Copy'!F105</f>
        <v>0</v>
      </c>
      <c r="E12" s="161">
        <f>'File Copy'!G105</f>
        <v>0</v>
      </c>
      <c r="F12" s="375">
        <f>'File Copy'!H105</f>
        <v>0</v>
      </c>
      <c r="G12" s="376">
        <f>'File Copy'!I105</f>
        <v>0</v>
      </c>
    </row>
    <row r="13" spans="1:7" x14ac:dyDescent="0.2">
      <c r="A13" s="361" t="s">
        <v>404</v>
      </c>
      <c r="B13" s="160">
        <f>'File Copy'!D110</f>
        <v>0</v>
      </c>
      <c r="C13" s="161">
        <f>'File Copy'!E110</f>
        <v>0</v>
      </c>
      <c r="D13" s="161">
        <f>'File Copy'!F110</f>
        <v>0</v>
      </c>
      <c r="E13" s="161">
        <f>'File Copy'!G110</f>
        <v>0</v>
      </c>
      <c r="F13" s="375">
        <f>'File Copy'!H110</f>
        <v>0</v>
      </c>
      <c r="G13" s="376">
        <f>'File Copy'!I110</f>
        <v>0</v>
      </c>
    </row>
    <row r="14" spans="1:7" x14ac:dyDescent="0.2">
      <c r="A14" s="362" t="s">
        <v>401</v>
      </c>
      <c r="B14" s="160">
        <f>'File Copy'!D108</f>
        <v>0</v>
      </c>
      <c r="C14" s="161">
        <f>'File Copy'!E108</f>
        <v>0</v>
      </c>
      <c r="D14" s="161">
        <f>'File Copy'!F108</f>
        <v>0</v>
      </c>
      <c r="E14" s="161">
        <f>'File Copy'!G108</f>
        <v>0</v>
      </c>
      <c r="F14" s="375">
        <f>'File Copy'!H108</f>
        <v>0</v>
      </c>
      <c r="G14" s="376">
        <f>'File Copy'!I108</f>
        <v>0</v>
      </c>
    </row>
    <row r="15" spans="1:7" x14ac:dyDescent="0.2">
      <c r="A15" s="361" t="s">
        <v>402</v>
      </c>
      <c r="B15" s="160">
        <f>'File Copy'!D112</f>
        <v>0</v>
      </c>
      <c r="C15" s="161">
        <f>'File Copy'!E112</f>
        <v>0</v>
      </c>
      <c r="D15" s="161">
        <f>'File Copy'!F112</f>
        <v>0</v>
      </c>
      <c r="E15" s="161">
        <f>'File Copy'!G112</f>
        <v>0</v>
      </c>
      <c r="F15" s="375">
        <f>'File Copy'!H112</f>
        <v>0</v>
      </c>
      <c r="G15" s="376">
        <f>'File Copy'!I112</f>
        <v>0</v>
      </c>
    </row>
    <row r="16" spans="1:7" x14ac:dyDescent="0.2">
      <c r="A16" s="361" t="s">
        <v>406</v>
      </c>
      <c r="B16" s="160">
        <f>'File Copy'!D113</f>
        <v>0</v>
      </c>
      <c r="C16" s="161">
        <f>'File Copy'!E113</f>
        <v>0</v>
      </c>
      <c r="D16" s="161">
        <f>'File Copy'!F113</f>
        <v>0</v>
      </c>
      <c r="E16" s="161">
        <f>'File Copy'!G113</f>
        <v>0</v>
      </c>
      <c r="F16" s="375">
        <f>'File Copy'!H113</f>
        <v>0</v>
      </c>
      <c r="G16" s="376">
        <f>'File Copy'!I113</f>
        <v>0</v>
      </c>
    </row>
    <row r="17" spans="1:7" x14ac:dyDescent="0.2">
      <c r="A17" s="361" t="s">
        <v>403</v>
      </c>
      <c r="B17" s="160">
        <f>'File Copy'!D114</f>
        <v>0</v>
      </c>
      <c r="C17" s="161">
        <f>'File Copy'!E114</f>
        <v>0</v>
      </c>
      <c r="D17" s="161">
        <f>'File Copy'!F114</f>
        <v>0</v>
      </c>
      <c r="E17" s="161">
        <f>'File Copy'!G114</f>
        <v>0</v>
      </c>
      <c r="F17" s="375">
        <f>'File Copy'!H114</f>
        <v>0</v>
      </c>
      <c r="G17" s="376">
        <f>'File Copy'!I114</f>
        <v>0</v>
      </c>
    </row>
    <row r="18" spans="1:7" x14ac:dyDescent="0.2">
      <c r="A18" s="360" t="s">
        <v>139</v>
      </c>
      <c r="B18" s="160">
        <f>'File Copy'!D125</f>
        <v>0</v>
      </c>
      <c r="C18" s="161">
        <f>'File Copy'!E125</f>
        <v>0</v>
      </c>
      <c r="D18" s="161">
        <f>'File Copy'!F125</f>
        <v>0</v>
      </c>
      <c r="E18" s="161">
        <f>'File Copy'!G125</f>
        <v>0</v>
      </c>
      <c r="F18" s="375">
        <f>'File Copy'!H125</f>
        <v>0</v>
      </c>
      <c r="G18" s="376">
        <f>'File Copy'!I125</f>
        <v>0</v>
      </c>
    </row>
    <row r="19" spans="1:7" x14ac:dyDescent="0.2">
      <c r="A19" s="363" t="s">
        <v>142</v>
      </c>
      <c r="B19" s="160">
        <f>'File Copy'!D131</f>
        <v>0</v>
      </c>
      <c r="C19" s="161">
        <f>'File Copy'!E131</f>
        <v>0</v>
      </c>
      <c r="D19" s="161">
        <f>'File Copy'!F131</f>
        <v>0</v>
      </c>
      <c r="E19" s="161">
        <f>'File Copy'!G131</f>
        <v>0</v>
      </c>
      <c r="F19" s="375">
        <f>'File Copy'!H131</f>
        <v>0</v>
      </c>
      <c r="G19" s="376">
        <f>'File Copy'!I131</f>
        <v>0</v>
      </c>
    </row>
    <row r="20" spans="1:7" x14ac:dyDescent="0.2">
      <c r="A20" s="363" t="s">
        <v>145</v>
      </c>
      <c r="B20" s="160">
        <f>'File Copy'!D134</f>
        <v>0</v>
      </c>
      <c r="C20" s="161">
        <f>'File Copy'!E134</f>
        <v>0</v>
      </c>
      <c r="D20" s="161">
        <f>'File Copy'!F134</f>
        <v>0</v>
      </c>
      <c r="E20" s="161">
        <f>'File Copy'!G134</f>
        <v>0</v>
      </c>
      <c r="F20" s="375">
        <f>'File Copy'!H134</f>
        <v>0</v>
      </c>
      <c r="G20" s="376">
        <f>'File Copy'!I134</f>
        <v>0</v>
      </c>
    </row>
    <row r="21" spans="1:7" x14ac:dyDescent="0.2">
      <c r="A21" s="363" t="s">
        <v>146</v>
      </c>
      <c r="B21" s="160">
        <f>'File Copy'!D135</f>
        <v>0</v>
      </c>
      <c r="C21" s="161">
        <f>'File Copy'!E135</f>
        <v>0</v>
      </c>
      <c r="D21" s="161">
        <f>'File Copy'!F135</f>
        <v>0</v>
      </c>
      <c r="E21" s="161">
        <f>'File Copy'!G135</f>
        <v>0</v>
      </c>
      <c r="F21" s="375">
        <f>'File Copy'!H135</f>
        <v>0</v>
      </c>
      <c r="G21" s="376">
        <f>'File Copy'!I135</f>
        <v>0</v>
      </c>
    </row>
    <row r="22" spans="1:7" x14ac:dyDescent="0.2">
      <c r="A22" s="395" t="s">
        <v>148</v>
      </c>
      <c r="B22" s="396">
        <f>'File Copy'!D136</f>
        <v>0</v>
      </c>
      <c r="C22" s="397">
        <f>'File Copy'!E136</f>
        <v>0</v>
      </c>
      <c r="D22" s="397">
        <f>'File Copy'!F136</f>
        <v>0</v>
      </c>
      <c r="E22" s="397">
        <f>'File Copy'!G136</f>
        <v>0</v>
      </c>
      <c r="F22" s="398">
        <f>'File Copy'!H136</f>
        <v>0</v>
      </c>
      <c r="G22" s="399">
        <f>'File Copy'!I136</f>
        <v>0</v>
      </c>
    </row>
    <row r="23" spans="1:7" x14ac:dyDescent="0.2">
      <c r="A23" s="363" t="s">
        <v>150</v>
      </c>
      <c r="B23" s="160">
        <f>'File Copy'!D139</f>
        <v>0</v>
      </c>
      <c r="C23" s="161">
        <f>'File Copy'!E139</f>
        <v>0</v>
      </c>
      <c r="D23" s="161">
        <f>'File Copy'!F139</f>
        <v>0</v>
      </c>
      <c r="E23" s="161">
        <f>'File Copy'!G139</f>
        <v>0</v>
      </c>
      <c r="F23" s="375">
        <f>'File Copy'!H139</f>
        <v>0</v>
      </c>
      <c r="G23" s="376">
        <f>'File Copy'!I139</f>
        <v>0</v>
      </c>
    </row>
    <row r="24" spans="1:7" x14ac:dyDescent="0.2">
      <c r="A24" s="362" t="s">
        <v>444</v>
      </c>
      <c r="B24" s="160">
        <f>'File Copy'!D140</f>
        <v>0</v>
      </c>
      <c r="C24" s="161">
        <f>'File Copy'!E140</f>
        <v>0</v>
      </c>
      <c r="D24" s="161">
        <f>'File Copy'!F140</f>
        <v>0</v>
      </c>
      <c r="E24" s="161">
        <f>'File Copy'!G140</f>
        <v>0</v>
      </c>
      <c r="F24" s="375">
        <f>'File Copy'!H140</f>
        <v>0</v>
      </c>
      <c r="G24" s="376">
        <f>'File Copy'!I140</f>
        <v>0</v>
      </c>
    </row>
    <row r="25" spans="1:7" x14ac:dyDescent="0.2">
      <c r="A25" s="363" t="s">
        <v>151</v>
      </c>
      <c r="B25" s="160">
        <f>'File Copy'!D141</f>
        <v>0</v>
      </c>
      <c r="C25" s="161">
        <f>'File Copy'!E141</f>
        <v>0</v>
      </c>
      <c r="D25" s="161">
        <f>'File Copy'!F141</f>
        <v>0</v>
      </c>
      <c r="E25" s="161">
        <f>'File Copy'!G141</f>
        <v>0</v>
      </c>
      <c r="F25" s="375">
        <f>'File Copy'!H141</f>
        <v>0</v>
      </c>
      <c r="G25" s="376">
        <f>'File Copy'!I141</f>
        <v>0</v>
      </c>
    </row>
    <row r="26" spans="1:7" x14ac:dyDescent="0.2">
      <c r="A26" s="363" t="s">
        <v>152</v>
      </c>
      <c r="B26" s="160">
        <f>'File Copy'!D142</f>
        <v>0</v>
      </c>
      <c r="C26" s="161">
        <f>'File Copy'!E142</f>
        <v>0</v>
      </c>
      <c r="D26" s="161">
        <f>'File Copy'!F142</f>
        <v>0</v>
      </c>
      <c r="E26" s="161">
        <f>'File Copy'!G142</f>
        <v>0</v>
      </c>
      <c r="F26" s="375">
        <f>'File Copy'!H142</f>
        <v>0</v>
      </c>
      <c r="G26" s="376">
        <f>'File Copy'!I142</f>
        <v>0</v>
      </c>
    </row>
    <row r="27" spans="1:7" x14ac:dyDescent="0.2">
      <c r="A27" s="363" t="s">
        <v>155</v>
      </c>
      <c r="B27" s="160">
        <f>'File Copy'!D146</f>
        <v>0</v>
      </c>
      <c r="C27" s="161">
        <f>'File Copy'!E146</f>
        <v>0</v>
      </c>
      <c r="D27" s="161">
        <f>'File Copy'!F146</f>
        <v>0</v>
      </c>
      <c r="E27" s="161">
        <f>'File Copy'!G146</f>
        <v>0</v>
      </c>
      <c r="F27" s="375">
        <f>'File Copy'!H146</f>
        <v>0</v>
      </c>
      <c r="G27" s="376">
        <f>'File Copy'!I146</f>
        <v>0</v>
      </c>
    </row>
    <row r="28" spans="1:7" x14ac:dyDescent="0.2">
      <c r="A28" s="363" t="s">
        <v>156</v>
      </c>
      <c r="B28" s="160">
        <f>'File Copy'!D147</f>
        <v>0</v>
      </c>
      <c r="C28" s="161">
        <f>'File Copy'!E147</f>
        <v>0</v>
      </c>
      <c r="D28" s="161">
        <f>'File Copy'!F147</f>
        <v>0</v>
      </c>
      <c r="E28" s="161">
        <f>'File Copy'!G147</f>
        <v>0</v>
      </c>
      <c r="F28" s="375">
        <f>'File Copy'!H147</f>
        <v>0</v>
      </c>
      <c r="G28" s="376">
        <f>'File Copy'!I147</f>
        <v>0</v>
      </c>
    </row>
    <row r="29" spans="1:7" x14ac:dyDescent="0.2">
      <c r="A29" s="363" t="s">
        <v>157</v>
      </c>
      <c r="B29" s="160">
        <f>'File Copy'!D149</f>
        <v>0</v>
      </c>
      <c r="C29" s="161">
        <f>'File Copy'!E149</f>
        <v>0</v>
      </c>
      <c r="D29" s="161">
        <f>'File Copy'!F149</f>
        <v>0</v>
      </c>
      <c r="E29" s="161">
        <f>'File Copy'!G149</f>
        <v>0</v>
      </c>
      <c r="F29" s="375">
        <f>'File Copy'!H149</f>
        <v>0</v>
      </c>
      <c r="G29" s="376">
        <f>'File Copy'!I149</f>
        <v>0</v>
      </c>
    </row>
    <row r="30" spans="1:7" x14ac:dyDescent="0.2">
      <c r="A30" s="363" t="s">
        <v>158</v>
      </c>
      <c r="B30" s="160">
        <f>'File Copy'!D150</f>
        <v>0</v>
      </c>
      <c r="C30" s="161">
        <f>'File Copy'!E150</f>
        <v>0</v>
      </c>
      <c r="D30" s="161">
        <f>'File Copy'!F150</f>
        <v>0</v>
      </c>
      <c r="E30" s="161">
        <f>'File Copy'!G150</f>
        <v>0</v>
      </c>
      <c r="F30" s="375">
        <f>'File Copy'!H150</f>
        <v>0</v>
      </c>
      <c r="G30" s="376">
        <f>'File Copy'!I150</f>
        <v>0</v>
      </c>
    </row>
    <row r="31" spans="1:7" x14ac:dyDescent="0.2">
      <c r="A31" s="363" t="s">
        <v>160</v>
      </c>
      <c r="B31" s="160">
        <f>'File Copy'!D151</f>
        <v>0</v>
      </c>
      <c r="C31" s="161">
        <f>'File Copy'!E151</f>
        <v>0</v>
      </c>
      <c r="D31" s="161">
        <f>'File Copy'!F151</f>
        <v>0</v>
      </c>
      <c r="E31" s="161">
        <f>'File Copy'!G151</f>
        <v>0</v>
      </c>
      <c r="F31" s="375">
        <f>'File Copy'!H151</f>
        <v>0</v>
      </c>
      <c r="G31" s="376">
        <f>'File Copy'!I151</f>
        <v>0</v>
      </c>
    </row>
    <row r="32" spans="1:7" x14ac:dyDescent="0.2">
      <c r="A32" s="362" t="s">
        <v>409</v>
      </c>
      <c r="B32" s="160">
        <f>'File Copy'!D153</f>
        <v>0</v>
      </c>
      <c r="C32" s="161">
        <f>'File Copy'!E153</f>
        <v>0</v>
      </c>
      <c r="D32" s="161">
        <f>'File Copy'!F153</f>
        <v>0</v>
      </c>
      <c r="E32" s="161">
        <f>'File Copy'!G153</f>
        <v>0</v>
      </c>
      <c r="F32" s="375">
        <f>'File Copy'!H153</f>
        <v>0</v>
      </c>
      <c r="G32" s="376">
        <f>'File Copy'!I153</f>
        <v>0</v>
      </c>
    </row>
    <row r="33" spans="1:7" x14ac:dyDescent="0.2">
      <c r="A33" s="362" t="s">
        <v>410</v>
      </c>
      <c r="B33" s="160">
        <f>'File Copy'!D154</f>
        <v>0</v>
      </c>
      <c r="C33" s="161">
        <f>'File Copy'!E154</f>
        <v>0</v>
      </c>
      <c r="D33" s="161">
        <f>'File Copy'!F154</f>
        <v>0</v>
      </c>
      <c r="E33" s="161">
        <f>'File Copy'!G154</f>
        <v>0</v>
      </c>
      <c r="F33" s="375">
        <f>'File Copy'!H154</f>
        <v>0</v>
      </c>
      <c r="G33" s="376">
        <f>'File Copy'!I154</f>
        <v>0</v>
      </c>
    </row>
    <row r="34" spans="1:7" x14ac:dyDescent="0.2">
      <c r="A34" s="363" t="s">
        <v>164</v>
      </c>
      <c r="B34" s="160">
        <f>'File Copy'!D155</f>
        <v>0</v>
      </c>
      <c r="C34" s="161">
        <f>'File Copy'!E155</f>
        <v>0</v>
      </c>
      <c r="D34" s="161">
        <f>'File Copy'!F155</f>
        <v>0</v>
      </c>
      <c r="E34" s="161">
        <f>'File Copy'!G155</f>
        <v>0</v>
      </c>
      <c r="F34" s="375">
        <f>'File Copy'!H155</f>
        <v>0</v>
      </c>
      <c r="G34" s="376">
        <f>'File Copy'!I155</f>
        <v>0</v>
      </c>
    </row>
    <row r="35" spans="1:7" x14ac:dyDescent="0.2">
      <c r="A35" s="362" t="s">
        <v>412</v>
      </c>
      <c r="B35" s="160">
        <f>'File Copy'!D156</f>
        <v>0</v>
      </c>
      <c r="C35" s="161">
        <f>'File Copy'!E156</f>
        <v>0</v>
      </c>
      <c r="D35" s="161">
        <f>'File Copy'!F156</f>
        <v>0</v>
      </c>
      <c r="E35" s="161">
        <f>'File Copy'!G156</f>
        <v>0</v>
      </c>
      <c r="F35" s="375">
        <f>'File Copy'!H156</f>
        <v>0</v>
      </c>
      <c r="G35" s="376">
        <f>'File Copy'!I156</f>
        <v>0</v>
      </c>
    </row>
    <row r="36" spans="1:7" x14ac:dyDescent="0.2">
      <c r="A36" s="363" t="s">
        <v>411</v>
      </c>
      <c r="B36" s="160">
        <f>'File Copy'!D157</f>
        <v>0</v>
      </c>
      <c r="C36" s="161">
        <f>'File Copy'!E157</f>
        <v>0</v>
      </c>
      <c r="D36" s="161">
        <f>'File Copy'!F157</f>
        <v>0</v>
      </c>
      <c r="E36" s="161">
        <f>'File Copy'!G157</f>
        <v>0</v>
      </c>
      <c r="F36" s="375">
        <f>'File Copy'!H157</f>
        <v>0</v>
      </c>
      <c r="G36" s="376">
        <f>'File Copy'!I157</f>
        <v>0</v>
      </c>
    </row>
    <row r="37" spans="1:7" x14ac:dyDescent="0.2">
      <c r="A37" s="362" t="s">
        <v>414</v>
      </c>
      <c r="B37" s="160">
        <f>'File Copy'!D158</f>
        <v>0</v>
      </c>
      <c r="C37" s="161">
        <f>'File Copy'!E158</f>
        <v>0</v>
      </c>
      <c r="D37" s="161">
        <f>'File Copy'!F158</f>
        <v>0</v>
      </c>
      <c r="E37" s="161">
        <f>'File Copy'!G158</f>
        <v>0</v>
      </c>
      <c r="F37" s="375">
        <f>'File Copy'!H158</f>
        <v>0</v>
      </c>
      <c r="G37" s="376">
        <f>'File Copy'!I158</f>
        <v>0</v>
      </c>
    </row>
    <row r="38" spans="1:7" x14ac:dyDescent="0.2">
      <c r="A38" s="362" t="s">
        <v>161</v>
      </c>
      <c r="B38" s="160">
        <f>'File Copy'!D159</f>
        <v>0</v>
      </c>
      <c r="C38" s="161">
        <f>'File Copy'!E159</f>
        <v>0</v>
      </c>
      <c r="D38" s="161">
        <f>'File Copy'!F159</f>
        <v>0</v>
      </c>
      <c r="E38" s="161">
        <f>'File Copy'!G159</f>
        <v>0</v>
      </c>
      <c r="F38" s="375">
        <f>'File Copy'!H159</f>
        <v>0</v>
      </c>
      <c r="G38" s="376">
        <f>'File Copy'!I159</f>
        <v>0</v>
      </c>
    </row>
    <row r="39" spans="1:7" x14ac:dyDescent="0.2">
      <c r="A39" s="362" t="s">
        <v>162</v>
      </c>
      <c r="B39" s="160">
        <f>'File Copy'!D160</f>
        <v>0</v>
      </c>
      <c r="C39" s="161">
        <f>'File Copy'!E160</f>
        <v>0</v>
      </c>
      <c r="D39" s="161">
        <f>'File Copy'!F160</f>
        <v>0</v>
      </c>
      <c r="E39" s="161">
        <f>'File Copy'!G160</f>
        <v>0</v>
      </c>
      <c r="F39" s="375">
        <f>'File Copy'!H160</f>
        <v>0</v>
      </c>
      <c r="G39" s="376">
        <f>'File Copy'!I160</f>
        <v>0</v>
      </c>
    </row>
    <row r="40" spans="1:7" x14ac:dyDescent="0.2">
      <c r="A40" s="362" t="s">
        <v>163</v>
      </c>
      <c r="B40" s="160">
        <f>'File Copy'!D161</f>
        <v>0</v>
      </c>
      <c r="C40" s="161">
        <f>'File Copy'!E161</f>
        <v>0</v>
      </c>
      <c r="D40" s="161">
        <f>'File Copy'!F161</f>
        <v>0</v>
      </c>
      <c r="E40" s="161">
        <f>'File Copy'!G161</f>
        <v>0</v>
      </c>
      <c r="F40" s="375">
        <f>'File Copy'!H161</f>
        <v>0</v>
      </c>
      <c r="G40" s="376">
        <f>'File Copy'!I161</f>
        <v>0</v>
      </c>
    </row>
    <row r="41" spans="1:7" x14ac:dyDescent="0.2">
      <c r="A41" s="362" t="s">
        <v>165</v>
      </c>
      <c r="B41" s="160">
        <f>'File Copy'!D162</f>
        <v>0</v>
      </c>
      <c r="C41" s="161">
        <f>'File Copy'!E162</f>
        <v>0</v>
      </c>
      <c r="D41" s="161">
        <f>'File Copy'!F162</f>
        <v>0</v>
      </c>
      <c r="E41" s="161">
        <f>'File Copy'!G162</f>
        <v>0</v>
      </c>
      <c r="F41" s="375">
        <f>'File Copy'!H162</f>
        <v>0</v>
      </c>
      <c r="G41" s="376">
        <f>'File Copy'!I162</f>
        <v>0</v>
      </c>
    </row>
    <row r="42" spans="1:7" x14ac:dyDescent="0.2">
      <c r="A42" s="395" t="s">
        <v>166</v>
      </c>
      <c r="B42" s="396">
        <f>'File Copy'!D163</f>
        <v>0</v>
      </c>
      <c r="C42" s="397">
        <f>'File Copy'!E163</f>
        <v>0</v>
      </c>
      <c r="D42" s="397">
        <f>'File Copy'!F163</f>
        <v>0</v>
      </c>
      <c r="E42" s="397">
        <f>'File Copy'!G163</f>
        <v>0</v>
      </c>
      <c r="F42" s="398">
        <f>'File Copy'!H163</f>
        <v>0</v>
      </c>
      <c r="G42" s="399">
        <f>'File Copy'!I163</f>
        <v>0</v>
      </c>
    </row>
    <row r="43" spans="1:7" ht="13.5" thickBot="1" x14ac:dyDescent="0.25">
      <c r="A43" s="370" t="s">
        <v>176</v>
      </c>
      <c r="B43" s="377">
        <f>'File Copy'!D176</f>
        <v>0</v>
      </c>
      <c r="C43" s="378">
        <f>'File Copy'!E176</f>
        <v>0</v>
      </c>
      <c r="D43" s="378">
        <f>'File Copy'!F176</f>
        <v>0</v>
      </c>
      <c r="E43" s="378">
        <f>'File Copy'!G176</f>
        <v>0</v>
      </c>
      <c r="F43" s="379">
        <f>'File Copy'!H176</f>
        <v>0</v>
      </c>
      <c r="G43" s="380">
        <f>'File Copy'!I176</f>
        <v>0</v>
      </c>
    </row>
    <row r="44" spans="1:7" ht="13.5" thickBot="1" x14ac:dyDescent="0.25">
      <c r="A44" s="365" t="s">
        <v>37</v>
      </c>
      <c r="B44" s="381">
        <f>SUM(B7:B19,B22:B37,B42:B43)</f>
        <v>0</v>
      </c>
      <c r="C44" s="381">
        <f t="shared" ref="C44:G44" si="0">SUM(C7:C19,C22:C37,C42:C43)</f>
        <v>0</v>
      </c>
      <c r="D44" s="381">
        <f t="shared" si="0"/>
        <v>0</v>
      </c>
      <c r="E44" s="381">
        <f t="shared" si="0"/>
        <v>0</v>
      </c>
      <c r="F44" s="394">
        <f t="shared" si="0"/>
        <v>0</v>
      </c>
      <c r="G44" s="382">
        <f t="shared" si="0"/>
        <v>0</v>
      </c>
    </row>
  </sheetData>
  <sheetProtection algorithmName="SHA-512" hashValue="a+PGyfn+ietzZsTcr0EaVzNgPtWT1/6+CRgrE/AIGf4LxX98cb1DVLMLWL8ZGy2U6ofdg+WuaS8jjK9EsJ03hg==" saltValue="FM9LOEoSDRSJQx+SLeorLQ==" spinCount="100000" sheet="1" objects="1" scenarios="1"/>
  <mergeCells count="1">
    <mergeCell ref="A1:G1"/>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4"/>
  <sheetViews>
    <sheetView workbookViewId="0"/>
  </sheetViews>
  <sheetFormatPr defaultRowHeight="12.75" x14ac:dyDescent="0.2"/>
  <cols>
    <col min="1" max="1" width="31.28515625" style="222" customWidth="1"/>
    <col min="2" max="2" width="70" style="221" customWidth="1"/>
  </cols>
  <sheetData>
    <row r="1" spans="1:2" x14ac:dyDescent="0.2">
      <c r="A1" s="223" t="s">
        <v>239</v>
      </c>
    </row>
    <row r="3" spans="1:2" x14ac:dyDescent="0.2">
      <c r="A3" s="223" t="str">
        <f>'Personnel Yr 1'!B5</f>
        <v>A. Senior/Key Person</v>
      </c>
      <c r="B3" s="224" t="s">
        <v>238</v>
      </c>
    </row>
    <row r="4" spans="1:2" ht="26.45" customHeight="1" x14ac:dyDescent="0.2">
      <c r="A4" s="222" t="str">
        <f>'Personnel Yr 1'!A7 &amp; ". " &amp; 'Personnel Yr 1'!C7 &amp; " " &amp; 'Personnel Yr 1'!E7</f>
        <v xml:space="preserve">1.  </v>
      </c>
      <c r="B4" s="225">
        <f>'Personnel Yr 1'!P7</f>
        <v>0</v>
      </c>
    </row>
    <row r="5" spans="1:2" ht="26.45" customHeight="1" x14ac:dyDescent="0.2">
      <c r="A5" s="222" t="str">
        <f>'Personnel Yr 1'!A8 &amp; ". " &amp; 'Personnel Yr 1'!C8 &amp; " " &amp; 'Personnel Yr 1'!E8</f>
        <v xml:space="preserve">2.  </v>
      </c>
      <c r="B5" s="226">
        <f>'Personnel Yr 1'!P8</f>
        <v>0</v>
      </c>
    </row>
    <row r="6" spans="1:2" ht="26.45" customHeight="1" x14ac:dyDescent="0.2">
      <c r="A6" s="222" t="str">
        <f>'Personnel Yr 1'!A9 &amp; ". " &amp; 'Personnel Yr 1'!C9 &amp; " " &amp; 'Personnel Yr 1'!E9</f>
        <v xml:space="preserve">3.  </v>
      </c>
      <c r="B6" s="226">
        <f>'Personnel Yr 1'!P9</f>
        <v>0</v>
      </c>
    </row>
    <row r="7" spans="1:2" ht="26.45" customHeight="1" x14ac:dyDescent="0.2">
      <c r="A7" s="222" t="str">
        <f>'Personnel Yr 1'!A10 &amp; ". " &amp; 'Personnel Yr 1'!C10 &amp; " " &amp; 'Personnel Yr 1'!E10</f>
        <v xml:space="preserve">4.  </v>
      </c>
      <c r="B7" s="226">
        <f>'Personnel Yr 1'!P10</f>
        <v>0</v>
      </c>
    </row>
    <row r="8" spans="1:2" ht="26.45" customHeight="1" x14ac:dyDescent="0.2">
      <c r="A8" s="222" t="str">
        <f>'Personnel Yr 1'!A11 &amp; ". " &amp; 'Personnel Yr 1'!C11 &amp; " " &amp; 'Personnel Yr 1'!E11</f>
        <v xml:space="preserve">5.  </v>
      </c>
      <c r="B8" s="226">
        <f>'Personnel Yr 1'!P11</f>
        <v>0</v>
      </c>
    </row>
    <row r="9" spans="1:2" ht="26.45" customHeight="1" x14ac:dyDescent="0.2">
      <c r="A9" s="222" t="str">
        <f>'Personnel Yr 1'!A12 &amp; ". " &amp; 'Personnel Yr 1'!C12 &amp; " " &amp; 'Personnel Yr 1'!E12</f>
        <v xml:space="preserve">6.  </v>
      </c>
      <c r="B9" s="226">
        <f>'Personnel Yr 1'!P12</f>
        <v>0</v>
      </c>
    </row>
    <row r="10" spans="1:2" ht="26.45" customHeight="1" x14ac:dyDescent="0.2">
      <c r="A10" s="222" t="str">
        <f>'Personnel Yr 1'!A13 &amp; ". " &amp; 'Personnel Yr 1'!C13 &amp; " " &amp; 'Personnel Yr 1'!E13</f>
        <v xml:space="preserve">7.  </v>
      </c>
      <c r="B10" s="226">
        <f>'Personnel Yr 1'!P13</f>
        <v>0</v>
      </c>
    </row>
    <row r="11" spans="1:2" ht="26.45" customHeight="1" x14ac:dyDescent="0.2">
      <c r="A11" s="222" t="str">
        <f>'Personnel Yr 1'!A14 &amp; ". " &amp; 'Personnel Yr 1'!C14 &amp; " " &amp; 'Personnel Yr 1'!E14</f>
        <v xml:space="preserve">8.  </v>
      </c>
      <c r="B11" s="226">
        <f>'Personnel Yr 1'!P14</f>
        <v>0</v>
      </c>
    </row>
    <row r="12" spans="1:2" x14ac:dyDescent="0.2">
      <c r="B12" s="226"/>
    </row>
    <row r="13" spans="1:2" x14ac:dyDescent="0.2">
      <c r="A13" s="223" t="str">
        <f>'Personnel Yr 1'!B18</f>
        <v>9. Additional Senior/Key Personnel</v>
      </c>
      <c r="B13" s="224" t="s">
        <v>238</v>
      </c>
    </row>
    <row r="14" spans="1:2" ht="26.45" customHeight="1" x14ac:dyDescent="0.2">
      <c r="A14" s="222" t="str">
        <f>'Personnel Yr 1'!A20 &amp; ". " &amp; 'Personnel Yr 1'!C20 &amp; " " &amp; 'Personnel Yr 1'!E20</f>
        <v xml:space="preserve">1.  </v>
      </c>
      <c r="B14" s="226">
        <f>'Personnel Yr 1'!P20</f>
        <v>0</v>
      </c>
    </row>
    <row r="15" spans="1:2" ht="26.45" customHeight="1" x14ac:dyDescent="0.2">
      <c r="A15" s="222" t="str">
        <f>'Personnel Yr 1'!A21 &amp; ". " &amp; 'Personnel Yr 1'!C21 &amp; " " &amp; 'Personnel Yr 1'!E21</f>
        <v xml:space="preserve">2.  </v>
      </c>
      <c r="B15" s="226">
        <f>'Personnel Yr 1'!P21</f>
        <v>0</v>
      </c>
    </row>
    <row r="16" spans="1:2" ht="26.45" customHeight="1" x14ac:dyDescent="0.2">
      <c r="A16" s="222" t="str">
        <f>'Personnel Yr 1'!A22 &amp; ". " &amp; 'Personnel Yr 1'!C22 &amp; " " &amp; 'Personnel Yr 1'!E22</f>
        <v xml:space="preserve">3.  </v>
      </c>
      <c r="B16" s="226">
        <f>'Personnel Yr 1'!P22</f>
        <v>0</v>
      </c>
    </row>
    <row r="17" spans="1:2" ht="26.45" customHeight="1" x14ac:dyDescent="0.2">
      <c r="A17" s="222" t="str">
        <f>'Personnel Yr 1'!A23 &amp; ". " &amp; 'Personnel Yr 1'!C23 &amp; " " &amp; 'Personnel Yr 1'!E23</f>
        <v xml:space="preserve">4.  </v>
      </c>
      <c r="B17" s="226">
        <f>'Personnel Yr 1'!P23</f>
        <v>0</v>
      </c>
    </row>
    <row r="18" spans="1:2" ht="26.45" customHeight="1" x14ac:dyDescent="0.2">
      <c r="A18" s="222" t="str">
        <f>'Personnel Yr 1'!A24 &amp; ". " &amp; 'Personnel Yr 1'!C24 &amp; " " &amp; 'Personnel Yr 1'!E24</f>
        <v xml:space="preserve">5.  </v>
      </c>
      <c r="B18" s="226">
        <f>'Personnel Yr 1'!P24</f>
        <v>0</v>
      </c>
    </row>
    <row r="19" spans="1:2" ht="26.45" customHeight="1" x14ac:dyDescent="0.2">
      <c r="A19" s="222" t="str">
        <f>'Personnel Yr 1'!A25 &amp; ". " &amp; 'Personnel Yr 1'!C25 &amp; " " &amp; 'Personnel Yr 1'!E25</f>
        <v xml:space="preserve">6.  </v>
      </c>
      <c r="B19" s="226">
        <f>'Personnel Yr 1'!P25</f>
        <v>0</v>
      </c>
    </row>
    <row r="20" spans="1:2" ht="26.45" customHeight="1" x14ac:dyDescent="0.2">
      <c r="A20" s="222" t="str">
        <f>'Personnel Yr 1'!A26 &amp; ". " &amp; 'Personnel Yr 1'!C26 &amp; " " &amp; 'Personnel Yr 1'!E26</f>
        <v xml:space="preserve">7.  </v>
      </c>
      <c r="B20" s="226">
        <f>'Personnel Yr 1'!P26</f>
        <v>0</v>
      </c>
    </row>
    <row r="21" spans="1:2" ht="26.45" customHeight="1" x14ac:dyDescent="0.2">
      <c r="A21" s="222" t="str">
        <f>'Personnel Yr 1'!A27 &amp; ". " &amp; 'Personnel Yr 1'!C27 &amp; " " &amp; 'Personnel Yr 1'!E27</f>
        <v xml:space="preserve">8.  </v>
      </c>
      <c r="B21" s="226">
        <f>'Personnel Yr 1'!P27</f>
        <v>0</v>
      </c>
    </row>
    <row r="22" spans="1:2" ht="26.45" customHeight="1" x14ac:dyDescent="0.2">
      <c r="A22" s="222" t="str">
        <f>'Personnel Yr 1'!A28 &amp; ". " &amp; 'Personnel Yr 1'!C28 &amp; " " &amp; 'Personnel Yr 1'!E28</f>
        <v xml:space="preserve">9.  </v>
      </c>
      <c r="B22" s="226">
        <f>'Personnel Yr 1'!P28</f>
        <v>0</v>
      </c>
    </row>
    <row r="23" spans="1:2" ht="26.45" customHeight="1" x14ac:dyDescent="0.2">
      <c r="A23" s="222" t="str">
        <f>'Personnel Yr 1'!A29 &amp; ". " &amp; 'Personnel Yr 1'!C29 &amp; " " &amp; 'Personnel Yr 1'!E29</f>
        <v xml:space="preserve">10.  </v>
      </c>
      <c r="B23" s="226">
        <f>'Personnel Yr 1'!P29</f>
        <v>0</v>
      </c>
    </row>
    <row r="24" spans="1:2" ht="26.45" customHeight="1" x14ac:dyDescent="0.2">
      <c r="A24" s="222" t="str">
        <f>'Personnel Yr 1'!A30 &amp; ". " &amp; 'Personnel Yr 1'!C30 &amp; " " &amp; 'Personnel Yr 1'!E30</f>
        <v xml:space="preserve">11.  </v>
      </c>
      <c r="B24" s="226">
        <f>'Personnel Yr 1'!P30</f>
        <v>0</v>
      </c>
    </row>
    <row r="25" spans="1:2" ht="26.45" customHeight="1" x14ac:dyDescent="0.2">
      <c r="A25" s="222" t="str">
        <f>'Personnel Yr 1'!A31 &amp; ". " &amp; 'Personnel Yr 1'!C31 &amp; " " &amp; 'Personnel Yr 1'!E31</f>
        <v xml:space="preserve">12.  </v>
      </c>
      <c r="B25" s="226">
        <f>'Personnel Yr 1'!P31</f>
        <v>0</v>
      </c>
    </row>
    <row r="26" spans="1:2" ht="26.45" customHeight="1" x14ac:dyDescent="0.2">
      <c r="A26" s="222" t="str">
        <f>'Personnel Yr 1'!A32 &amp; ". " &amp; 'Personnel Yr 1'!C32 &amp; " " &amp; 'Personnel Yr 1'!E32</f>
        <v xml:space="preserve">13.  </v>
      </c>
      <c r="B26" s="226">
        <f>'Personnel Yr 1'!P32</f>
        <v>0</v>
      </c>
    </row>
    <row r="27" spans="1:2" ht="26.45" customHeight="1" x14ac:dyDescent="0.2">
      <c r="A27" s="222" t="str">
        <f>'Personnel Yr 1'!A33 &amp; ". " &amp; 'Personnel Yr 1'!C33 &amp; " " &amp; 'Personnel Yr 1'!E33</f>
        <v xml:space="preserve">14.  </v>
      </c>
      <c r="B27" s="226">
        <f>'Personnel Yr 1'!P33</f>
        <v>0</v>
      </c>
    </row>
    <row r="28" spans="1:2" ht="26.45" customHeight="1" x14ac:dyDescent="0.2">
      <c r="A28" s="222" t="str">
        <f>'Personnel Yr 1'!A34 &amp; ". " &amp; 'Personnel Yr 1'!C34 &amp; " " &amp; 'Personnel Yr 1'!E34</f>
        <v xml:space="preserve">15.  </v>
      </c>
      <c r="B28" s="226">
        <f>'Personnel Yr 1'!P34</f>
        <v>0</v>
      </c>
    </row>
    <row r="29" spans="1:2" x14ac:dyDescent="0.2">
      <c r="B29" s="226"/>
    </row>
    <row r="30" spans="1:2" x14ac:dyDescent="0.2">
      <c r="A30" s="222" t="str">
        <f>'Personnel Yr 1'!B37</f>
        <v>B. Other Personnel</v>
      </c>
      <c r="B30" s="226" t="s">
        <v>238</v>
      </c>
    </row>
    <row r="31" spans="1:2" x14ac:dyDescent="0.2">
      <c r="A31" s="222" t="str">
        <f>"1. " &amp; 'Personnel Yr 1'!C39</f>
        <v>1. Postdoctoral Associates</v>
      </c>
      <c r="B31" s="225">
        <f>'Personnel Yr 1'!P39</f>
        <v>0</v>
      </c>
    </row>
    <row r="32" spans="1:2" x14ac:dyDescent="0.2">
      <c r="A32" s="441" t="str">
        <f>"2. " &amp; 'Personnel Yr 1'!C40</f>
        <v>2. Research Associate - Full Time</v>
      </c>
      <c r="B32" s="225">
        <f>'Personnel Yr 1'!P40</f>
        <v>0</v>
      </c>
    </row>
    <row r="33" spans="1:2" x14ac:dyDescent="0.2">
      <c r="A33" s="441" t="str">
        <f>"3. " &amp; 'Personnel Yr 1'!C41</f>
        <v>3. Research Associate - Hourly</v>
      </c>
      <c r="B33" s="225">
        <f>'Personnel Yr 1'!P41</f>
        <v>0</v>
      </c>
    </row>
    <row r="34" spans="1:2" x14ac:dyDescent="0.2">
      <c r="A34" s="222" t="str">
        <f>"4. " &amp; 'Personnel Yr 1'!C42</f>
        <v>4. Other Professional Staff</v>
      </c>
      <c r="B34" s="225">
        <f>'Personnel Yr 1'!P42</f>
        <v>0</v>
      </c>
    </row>
    <row r="35" spans="1:2" x14ac:dyDescent="0.2">
      <c r="A35" s="222" t="str">
        <f>"5. " &amp; 'Personnel Yr 1'!C43</f>
        <v>5. Graduate Assistants</v>
      </c>
      <c r="B35" s="225">
        <f>'Personnel Yr 1'!P43</f>
        <v>0</v>
      </c>
    </row>
    <row r="36" spans="1:2" x14ac:dyDescent="0.2">
      <c r="A36" s="222" t="str">
        <f>"6. " &amp; 'Personnel Yr 1'!C44</f>
        <v>6. Hourly Students (Grad/Undergrad)</v>
      </c>
      <c r="B36" s="225">
        <f>'Personnel Yr 1'!P44</f>
        <v>0</v>
      </c>
    </row>
    <row r="37" spans="1:2" x14ac:dyDescent="0.2">
      <c r="A37" s="222" t="str">
        <f>"7. " &amp; 'Personnel Yr 1'!C45</f>
        <v>7. Secretarial/Clerical</v>
      </c>
      <c r="B37" s="225">
        <f>'Personnel Yr 1'!P45</f>
        <v>0</v>
      </c>
    </row>
    <row r="38" spans="1:2" x14ac:dyDescent="0.2">
      <c r="A38" s="222" t="str">
        <f>"8. " &amp; 'Personnel Yr 1'!C46</f>
        <v>8. Other (Temp, wages)</v>
      </c>
      <c r="B38" s="225">
        <f>'Personnel Yr 1'!P46</f>
        <v>0</v>
      </c>
    </row>
    <row r="39" spans="1:2" x14ac:dyDescent="0.2">
      <c r="A39" s="222" t="str">
        <f>"9. " &amp; 'Personnel Yr 1'!C47</f>
        <v>9. Extra Service &amp; Overload</v>
      </c>
      <c r="B39" s="225">
        <f>'Personnel Yr 1'!P47</f>
        <v>0</v>
      </c>
    </row>
    <row r="40" spans="1:2" x14ac:dyDescent="0.2">
      <c r="A40" s="222" t="str">
        <f>"10. " &amp; 'Personnel Yr 1'!C48</f>
        <v>10. Adjunct Faculty</v>
      </c>
      <c r="B40" s="225">
        <f>'Personnel Yr 1'!P48</f>
        <v>0</v>
      </c>
    </row>
    <row r="41" spans="1:2" x14ac:dyDescent="0.2">
      <c r="B41" s="226"/>
    </row>
    <row r="42" spans="1:2" x14ac:dyDescent="0.2">
      <c r="A42" s="222" t="str">
        <f>'Non-personnel'!B4</f>
        <v>C. Equipment Description</v>
      </c>
      <c r="B42" s="226" t="s">
        <v>238</v>
      </c>
    </row>
    <row r="43" spans="1:2" x14ac:dyDescent="0.2">
      <c r="A43" s="222" t="str">
        <f>'Non-personnel'!A7 &amp; ". " &amp; 'Non-personnel'!B7</f>
        <v xml:space="preserve">1. </v>
      </c>
      <c r="B43" s="226">
        <f>'Non-personnel'!T7</f>
        <v>0</v>
      </c>
    </row>
    <row r="44" spans="1:2" x14ac:dyDescent="0.2">
      <c r="A44" s="222" t="str">
        <f>'Non-personnel'!A8 &amp; ". " &amp; 'Non-personnel'!B8</f>
        <v xml:space="preserve">2. </v>
      </c>
      <c r="B44" s="226">
        <f>'Non-personnel'!T8</f>
        <v>0</v>
      </c>
    </row>
    <row r="45" spans="1:2" x14ac:dyDescent="0.2">
      <c r="A45" s="222" t="str">
        <f>'Non-personnel'!A9 &amp; ". " &amp; 'Non-personnel'!B9</f>
        <v xml:space="preserve">3. </v>
      </c>
      <c r="B45" s="226">
        <f>'Non-personnel'!T9</f>
        <v>0</v>
      </c>
    </row>
    <row r="46" spans="1:2" x14ac:dyDescent="0.2">
      <c r="A46" s="222" t="str">
        <f>'Non-personnel'!A10 &amp; ". " &amp; 'Non-personnel'!B10</f>
        <v xml:space="preserve">4. </v>
      </c>
      <c r="B46" s="226">
        <f>'Non-personnel'!T10</f>
        <v>0</v>
      </c>
    </row>
    <row r="47" spans="1:2" x14ac:dyDescent="0.2">
      <c r="A47" s="222" t="str">
        <f>'Non-personnel'!A11 &amp; ". " &amp; 'Non-personnel'!B11</f>
        <v xml:space="preserve">5. </v>
      </c>
      <c r="B47" s="226">
        <f>'Non-personnel'!T11</f>
        <v>0</v>
      </c>
    </row>
    <row r="48" spans="1:2" x14ac:dyDescent="0.2">
      <c r="A48" s="222" t="str">
        <f>'Non-personnel'!A12 &amp; ". " &amp; 'Non-personnel'!B12</f>
        <v xml:space="preserve">6. </v>
      </c>
      <c r="B48" s="226">
        <f>'Non-personnel'!T12</f>
        <v>0</v>
      </c>
    </row>
    <row r="49" spans="1:2" x14ac:dyDescent="0.2">
      <c r="A49" s="222" t="str">
        <f>'Non-personnel'!A13 &amp; ". " &amp; 'Non-personnel'!B13</f>
        <v xml:space="preserve">7. </v>
      </c>
      <c r="B49" s="226">
        <f>'Non-personnel'!T13</f>
        <v>0</v>
      </c>
    </row>
    <row r="50" spans="1:2" x14ac:dyDescent="0.2">
      <c r="A50" s="222" t="str">
        <f>'Non-personnel'!A14 &amp; ". " &amp; 'Non-personnel'!B14</f>
        <v xml:space="preserve">8. </v>
      </c>
      <c r="B50" s="226">
        <f>'Non-personnel'!T14</f>
        <v>0</v>
      </c>
    </row>
    <row r="51" spans="1:2" x14ac:dyDescent="0.2">
      <c r="B51" s="226"/>
    </row>
    <row r="53" spans="1:2" x14ac:dyDescent="0.2">
      <c r="A53" s="222" t="str">
        <f>'Non-personnel'!B17</f>
        <v>D. Travel</v>
      </c>
      <c r="B53" s="226" t="s">
        <v>238</v>
      </c>
    </row>
    <row r="54" spans="1:2" x14ac:dyDescent="0.2">
      <c r="A54" s="222" t="str">
        <f>'Non-personnel'!A19 &amp; ". " &amp; 'Non-personnel'!B19</f>
        <v>1. Domestic Travel Costs(Incl. U.S. Possessions)</v>
      </c>
      <c r="B54" s="226">
        <f>'Non-personnel'!T19</f>
        <v>0</v>
      </c>
    </row>
    <row r="55" spans="1:2" x14ac:dyDescent="0.2">
      <c r="A55" s="222" t="str">
        <f>'Non-personnel'!A20 &amp; ". " &amp; 'Non-personnel'!B20</f>
        <v>2. Foreign Travel Costs</v>
      </c>
      <c r="B55" s="226">
        <f>'Non-personnel'!T20</f>
        <v>0</v>
      </c>
    </row>
    <row r="57" spans="1:2" x14ac:dyDescent="0.2">
      <c r="A57" s="222" t="str">
        <f>'Non-personnel'!B23</f>
        <v>E. Participant/Trainee Support Costs</v>
      </c>
      <c r="B57" s="226" t="s">
        <v>238</v>
      </c>
    </row>
    <row r="58" spans="1:2" x14ac:dyDescent="0.2">
      <c r="A58" s="222" t="str">
        <f>'Non-personnel'!A25 &amp; ". " &amp; 'Non-personnel'!B25</f>
        <v>1. Stipends</v>
      </c>
      <c r="B58" s="226">
        <f>'Non-personnel'!T25</f>
        <v>0</v>
      </c>
    </row>
    <row r="59" spans="1:2" x14ac:dyDescent="0.2">
      <c r="A59" s="222" t="str">
        <f>'Non-personnel'!A26 &amp; ". " &amp; 'Non-personnel'!B26</f>
        <v>2. Travel</v>
      </c>
      <c r="B59" s="226">
        <f>'Non-personnel'!T26</f>
        <v>0</v>
      </c>
    </row>
    <row r="60" spans="1:2" x14ac:dyDescent="0.2">
      <c r="A60" s="222" t="str">
        <f>'Non-personnel'!A27 &amp; ". " &amp; 'Non-personnel'!B27</f>
        <v>3. Subsistence</v>
      </c>
      <c r="B60" s="226">
        <f>'Non-personnel'!T27</f>
        <v>0</v>
      </c>
    </row>
    <row r="61" spans="1:2" x14ac:dyDescent="0.2">
      <c r="A61" s="222" t="str">
        <f>'Non-personnel'!A28 &amp; ". " &amp; 'Non-personnel'!B28</f>
        <v>4. Other</v>
      </c>
      <c r="B61" s="226">
        <f>'Non-personnel'!T28</f>
        <v>0</v>
      </c>
    </row>
    <row r="62" spans="1:2" x14ac:dyDescent="0.2">
      <c r="B62" s="226"/>
    </row>
    <row r="63" spans="1:2" x14ac:dyDescent="0.2">
      <c r="A63" s="222" t="str">
        <f>'Non-personnel'!B32</f>
        <v>F. Other Direct Costs</v>
      </c>
      <c r="B63" s="226" t="s">
        <v>238</v>
      </c>
    </row>
    <row r="64" spans="1:2" x14ac:dyDescent="0.2">
      <c r="A64" s="222" t="str">
        <f>'Non-personnel'!A34 &amp; ". " &amp; 'Non-personnel'!B34</f>
        <v>1. Materials and Supplies</v>
      </c>
      <c r="B64" s="226">
        <f>'Non-personnel'!T34</f>
        <v>0</v>
      </c>
    </row>
    <row r="65" spans="1:2" x14ac:dyDescent="0.2">
      <c r="A65" s="222" t="str">
        <f>'Non-personnel'!A35 &amp; ". " &amp; 'Non-personnel'!B35</f>
        <v>2. Publication Costs</v>
      </c>
      <c r="B65" s="226">
        <f>'Non-personnel'!T35</f>
        <v>0</v>
      </c>
    </row>
    <row r="66" spans="1:2" x14ac:dyDescent="0.2">
      <c r="A66" s="222" t="str">
        <f>'Non-personnel'!A36 &amp; ". " &amp; 'Non-personnel'!B36</f>
        <v>3. Consultant Services</v>
      </c>
      <c r="B66" s="226">
        <f>'Non-personnel'!T36</f>
        <v>0</v>
      </c>
    </row>
    <row r="67" spans="1:2" x14ac:dyDescent="0.2">
      <c r="A67" s="222" t="str">
        <f>'Non-personnel'!A37 &amp; ". " &amp; 'Non-personnel'!B37</f>
        <v>4. Purchased Services</v>
      </c>
      <c r="B67" s="226">
        <f>'Non-personnel'!T37</f>
        <v>0</v>
      </c>
    </row>
    <row r="68" spans="1:2" x14ac:dyDescent="0.2">
      <c r="A68" s="222" t="str">
        <f>'Non-personnel'!A38 &amp; ". " &amp; 'Non-personnel'!B38</f>
        <v>5. Subawards/Consortium/Contractual Costs (Fill in Below)</v>
      </c>
      <c r="B68" s="226">
        <f>'Non-personnel'!T38</f>
        <v>0</v>
      </c>
    </row>
    <row r="69" spans="1:2" x14ac:dyDescent="0.2">
      <c r="A69" s="222" t="str">
        <f>'Non-personnel'!A39 &amp; ". " &amp; 'Non-personnel'!B39</f>
        <v>6. Rental/Lease of Non-SU Off-site Facilities</v>
      </c>
      <c r="B69" s="226">
        <f>'Non-personnel'!T39</f>
        <v>0</v>
      </c>
    </row>
    <row r="70" spans="1:2" x14ac:dyDescent="0.2">
      <c r="A70" s="222" t="str">
        <f>'Non-personnel'!A40 &amp; ". " &amp; 'Non-personnel'!B40</f>
        <v>7. Alterations</v>
      </c>
      <c r="B70" s="226">
        <f>'Non-personnel'!T40</f>
        <v>0</v>
      </c>
    </row>
    <row r="71" spans="1:2" x14ac:dyDescent="0.2">
      <c r="A71" s="222" t="str">
        <f>'Non-personnel'!A41 &amp; ". " &amp; 'Non-personnel'!B41</f>
        <v>8. Tuition - Remitted</v>
      </c>
      <c r="B71" s="226">
        <f>'Non-personnel'!T41</f>
        <v>0</v>
      </c>
    </row>
    <row r="72" spans="1:2" x14ac:dyDescent="0.2">
      <c r="A72" s="222" t="str">
        <f>'Non-personnel'!A42 &amp; ". " &amp; 'Non-personnel'!B42</f>
        <v>9. Tuition - Scholarship</v>
      </c>
      <c r="B72" s="226">
        <f>'Non-personnel'!T42</f>
        <v>0</v>
      </c>
    </row>
    <row r="73" spans="1:2" x14ac:dyDescent="0.2">
      <c r="A73" s="222" t="str">
        <f>'Non-personnel'!A43 &amp; ". " &amp; 'Non-personnel'!B43</f>
        <v>10. Human Subject</v>
      </c>
      <c r="B73" s="226">
        <f>'Non-personnel'!T43</f>
        <v>0</v>
      </c>
    </row>
    <row r="74" spans="1:2" x14ac:dyDescent="0.2">
      <c r="A74" s="222" t="str">
        <f>'Non-personnel'!A44 &amp; ". " &amp; 'Non-personnel'!B44</f>
        <v>11. Other - Describe</v>
      </c>
      <c r="B74" s="226">
        <f>'Non-personnel'!T44</f>
        <v>0</v>
      </c>
    </row>
    <row r="75" spans="1:2" x14ac:dyDescent="0.2">
      <c r="A75" s="222" t="str">
        <f>'Non-personnel'!A45 &amp; ". " &amp; 'Non-personnel'!B45</f>
        <v>12. Other - Describe</v>
      </c>
      <c r="B75" s="226">
        <f>'Non-personnel'!T45</f>
        <v>0</v>
      </c>
    </row>
    <row r="76" spans="1:2" x14ac:dyDescent="0.2">
      <c r="A76" s="222" t="str">
        <f>'Non-personnel'!A46 &amp; ". " &amp; 'Non-personnel'!B46</f>
        <v>13. Other - Describe</v>
      </c>
      <c r="B76" s="226">
        <f>'Non-personnel'!T46</f>
        <v>0</v>
      </c>
    </row>
    <row r="77" spans="1:2" x14ac:dyDescent="0.2">
      <c r="A77" s="222" t="str">
        <f>'Non-personnel'!A47 &amp; ". " &amp; 'Non-personnel'!B47</f>
        <v>14. Other - Describe</v>
      </c>
      <c r="B77" s="226">
        <f>'Non-personnel'!T47</f>
        <v>0</v>
      </c>
    </row>
    <row r="79" spans="1:2" x14ac:dyDescent="0.2">
      <c r="A79" s="222" t="str">
        <f>'Non-personnel'!B54</f>
        <v>H. Facilities and Administration Costs (i.e. Indirect Costs)</v>
      </c>
      <c r="B79" s="226" t="s">
        <v>238</v>
      </c>
    </row>
    <row r="80" spans="1:2" x14ac:dyDescent="0.2">
      <c r="A80" s="222" t="str">
        <f>'Non-personnel'!A57 &amp; ". " &amp; 'Non-personnel'!B57</f>
        <v>1. MTDC-Fed</v>
      </c>
      <c r="B80" s="226">
        <f>'Non-personnel'!T57</f>
        <v>0</v>
      </c>
    </row>
    <row r="81" spans="1:2" x14ac:dyDescent="0.2">
      <c r="A81" s="222" t="str">
        <f>'Non-personnel'!A58 &amp; ". " &amp; 'Non-personnel'!B58</f>
        <v>2. MTDC-Fed</v>
      </c>
      <c r="B81" s="226">
        <f>'Non-personnel'!T58</f>
        <v>0</v>
      </c>
    </row>
    <row r="82" spans="1:2" x14ac:dyDescent="0.2">
      <c r="A82" s="222" t="str">
        <f>'Non-personnel'!A59 &amp; ". " &amp; 'Non-personnel'!B59</f>
        <v>3. MTDC-Fed</v>
      </c>
      <c r="B82" s="226">
        <f>'Non-personnel'!T59</f>
        <v>0</v>
      </c>
    </row>
    <row r="83" spans="1:2" x14ac:dyDescent="0.2">
      <c r="A83" s="222" t="str">
        <f>'Non-personnel'!A60 &amp; ". " &amp; 'Non-personnel'!B60</f>
        <v>4. MTDC-Fed</v>
      </c>
      <c r="B83" s="226">
        <f>'Non-personnel'!T60</f>
        <v>0</v>
      </c>
    </row>
    <row r="84" spans="1:2" x14ac:dyDescent="0.2">
      <c r="A84" s="222" t="str">
        <f>'Non-personnel'!A61 &amp; ". " &amp; 'Non-personnel'!B61</f>
        <v>5. MTDC-Fed</v>
      </c>
      <c r="B84" s="226">
        <f>'Non-personnel'!T61</f>
        <v>0</v>
      </c>
    </row>
  </sheetData>
  <sheetProtection algorithmName="SHA-512" hashValue="Xa8RwRV6wJ7z7f0ehMBXR4IGqkns05M/+uxbWU1uOM/0Jr2cRl9nWwvkdAlkM8b7nWTPrCfzIHuoKRgjFgRu5g==" saltValue="E60sPlHcHsTlxbLySZyhqA==" spinCount="100000" sheet="1" objects="1" scenarios="1"/>
  <pageMargins left="0.25" right="0.25" top="0.5" bottom="0.5" header="0.3" footer="0.3"/>
  <pageSetup orientation="portrait" verticalDpi="0" r:id="rId1"/>
  <rowBreaks count="1" manualBreakCount="1">
    <brk id="29" max="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9"/>
  <sheetViews>
    <sheetView workbookViewId="0">
      <selection sqref="A1:H1"/>
    </sheetView>
  </sheetViews>
  <sheetFormatPr defaultColWidth="8.85546875" defaultRowHeight="12.75" x14ac:dyDescent="0.2"/>
  <cols>
    <col min="1" max="1" width="4.7109375" style="232" customWidth="1"/>
    <col min="2" max="8" width="17.5703125" style="232" customWidth="1"/>
    <col min="9" max="16384" width="8.85546875" style="232"/>
  </cols>
  <sheetData>
    <row r="1" spans="1:8" ht="15.75" x14ac:dyDescent="0.2">
      <c r="A1" s="777" t="s">
        <v>327</v>
      </c>
      <c r="B1" s="777"/>
      <c r="C1" s="777"/>
      <c r="D1" s="777"/>
      <c r="E1" s="777"/>
      <c r="F1" s="777"/>
      <c r="G1" s="777"/>
      <c r="H1" s="777"/>
    </row>
    <row r="2" spans="1:8" x14ac:dyDescent="0.2">
      <c r="A2" s="779" t="s">
        <v>283</v>
      </c>
      <c r="B2" s="779"/>
      <c r="C2" s="779"/>
      <c r="D2" s="779"/>
      <c r="E2" s="779"/>
      <c r="F2" s="779"/>
      <c r="G2" s="779"/>
      <c r="H2" s="779"/>
    </row>
    <row r="3" spans="1:8" ht="26.45" customHeight="1" x14ac:dyDescent="0.2">
      <c r="A3" s="233"/>
      <c r="B3" s="786" t="s">
        <v>279</v>
      </c>
      <c r="C3" s="786" t="s">
        <v>276</v>
      </c>
      <c r="D3" s="786" t="s">
        <v>269</v>
      </c>
      <c r="E3" s="781"/>
      <c r="F3" s="786" t="s">
        <v>270</v>
      </c>
      <c r="G3" s="781"/>
      <c r="H3" s="781"/>
    </row>
    <row r="4" spans="1:8" ht="26.45" customHeight="1" x14ac:dyDescent="0.2">
      <c r="A4" s="233"/>
      <c r="B4" s="786"/>
      <c r="C4" s="786"/>
      <c r="D4" s="238" t="s">
        <v>271</v>
      </c>
      <c r="E4" s="238" t="s">
        <v>272</v>
      </c>
      <c r="F4" s="238" t="s">
        <v>273</v>
      </c>
      <c r="G4" s="238" t="s">
        <v>274</v>
      </c>
      <c r="H4" s="238" t="s">
        <v>275</v>
      </c>
    </row>
    <row r="5" spans="1:8" ht="26.45" customHeight="1" x14ac:dyDescent="0.2">
      <c r="A5" s="237" t="s">
        <v>265</v>
      </c>
      <c r="B5" s="243"/>
      <c r="C5" s="243"/>
      <c r="D5" s="242"/>
      <c r="E5" s="242"/>
      <c r="F5" s="234">
        <f>IF(OR('Personnel Yr 1'!O5="Federal - NIH", 'Personnel Yr 1'!O5="Federal - Other"),D23,0)</f>
        <v>0</v>
      </c>
      <c r="G5" s="234">
        <f>IF(AND('Personnel Yr 1'!O5&lt;&gt;"Federal - NIH",'Personnel Yr 1'!O5&lt;&gt;"Federal - Other"),D23,0)</f>
        <v>0</v>
      </c>
      <c r="H5" s="234">
        <f>SUM(D5:G5)</f>
        <v>0</v>
      </c>
    </row>
    <row r="6" spans="1:8" ht="26.45" customHeight="1" x14ac:dyDescent="0.2">
      <c r="A6" s="237" t="s">
        <v>266</v>
      </c>
      <c r="B6" s="243"/>
      <c r="C6" s="243"/>
      <c r="D6" s="242"/>
      <c r="E6" s="242"/>
      <c r="F6" s="242"/>
      <c r="G6" s="242"/>
      <c r="H6" s="234">
        <f t="shared" ref="H6:H8" si="0">SUM(D6:G6)</f>
        <v>0</v>
      </c>
    </row>
    <row r="7" spans="1:8" ht="26.45" customHeight="1" x14ac:dyDescent="0.2">
      <c r="A7" s="237" t="s">
        <v>267</v>
      </c>
      <c r="B7" s="243"/>
      <c r="C7" s="243"/>
      <c r="D7" s="242"/>
      <c r="E7" s="242"/>
      <c r="F7" s="242"/>
      <c r="G7" s="242"/>
      <c r="H7" s="234">
        <f t="shared" si="0"/>
        <v>0</v>
      </c>
    </row>
    <row r="8" spans="1:8" ht="26.45" customHeight="1" x14ac:dyDescent="0.2">
      <c r="A8" s="237" t="s">
        <v>268</v>
      </c>
      <c r="B8" s="243"/>
      <c r="C8" s="243"/>
      <c r="D8" s="242"/>
      <c r="E8" s="242"/>
      <c r="F8" s="242"/>
      <c r="G8" s="242"/>
      <c r="H8" s="234">
        <f t="shared" si="0"/>
        <v>0</v>
      </c>
    </row>
    <row r="9" spans="1:8" ht="26.45" customHeight="1" x14ac:dyDescent="0.2">
      <c r="A9" s="237" t="s">
        <v>277</v>
      </c>
      <c r="B9" s="776" t="s">
        <v>278</v>
      </c>
      <c r="C9" s="776"/>
      <c r="D9" s="234">
        <f>SUM(D5:D8)</f>
        <v>0</v>
      </c>
      <c r="E9" s="234">
        <f t="shared" ref="E9:G9" si="1">SUM(E5:E8)</f>
        <v>0</v>
      </c>
      <c r="F9" s="234">
        <f t="shared" si="1"/>
        <v>0</v>
      </c>
      <c r="G9" s="234">
        <f t="shared" si="1"/>
        <v>0</v>
      </c>
      <c r="H9" s="234">
        <f>SUM(D9:G9)</f>
        <v>0</v>
      </c>
    </row>
    <row r="10" spans="1:8" x14ac:dyDescent="0.2">
      <c r="A10" s="784" t="s">
        <v>282</v>
      </c>
      <c r="B10" s="784"/>
      <c r="C10" s="784"/>
      <c r="D10" s="784"/>
      <c r="E10" s="784"/>
      <c r="F10" s="784"/>
      <c r="G10" s="784"/>
      <c r="H10" s="784"/>
    </row>
    <row r="11" spans="1:8" x14ac:dyDescent="0.2">
      <c r="A11" s="785" t="s">
        <v>264</v>
      </c>
      <c r="B11" s="785"/>
      <c r="C11" s="785"/>
      <c r="D11" s="786" t="s">
        <v>280</v>
      </c>
      <c r="E11" s="781"/>
      <c r="F11" s="781"/>
      <c r="G11" s="781"/>
      <c r="H11" s="786" t="s">
        <v>281</v>
      </c>
    </row>
    <row r="12" spans="1:8" x14ac:dyDescent="0.2">
      <c r="A12" s="785"/>
      <c r="B12" s="785"/>
      <c r="C12" s="785"/>
      <c r="D12" s="236" t="str">
        <f xml:space="preserve"> "(1) " &amp; B5</f>
        <v xml:space="preserve">(1) </v>
      </c>
      <c r="E12" s="236" t="str">
        <f xml:space="preserve"> "(2) " &amp; B6</f>
        <v xml:space="preserve">(2) </v>
      </c>
      <c r="F12" s="236" t="str">
        <f xml:space="preserve"> "(3) " &amp; B7</f>
        <v xml:space="preserve">(3) </v>
      </c>
      <c r="G12" s="236" t="str">
        <f xml:space="preserve"> "(4) " &amp; B8</f>
        <v xml:space="preserve">(4) </v>
      </c>
      <c r="H12" s="786"/>
    </row>
    <row r="13" spans="1:8" ht="26.45" customHeight="1" x14ac:dyDescent="0.2">
      <c r="A13" s="233"/>
      <c r="B13" s="774" t="s">
        <v>253</v>
      </c>
      <c r="C13" s="774"/>
      <c r="D13" s="234">
        <f>'File Copy'!I117</f>
        <v>0</v>
      </c>
      <c r="E13" s="242"/>
      <c r="F13" s="242"/>
      <c r="G13" s="242"/>
      <c r="H13" s="234">
        <f>SUM(D13:G13)</f>
        <v>0</v>
      </c>
    </row>
    <row r="14" spans="1:8" ht="26.45" customHeight="1" x14ac:dyDescent="0.2">
      <c r="A14" s="233"/>
      <c r="B14" s="774" t="s">
        <v>254</v>
      </c>
      <c r="C14" s="774"/>
      <c r="D14" s="234">
        <f>'File Copy'!I125</f>
        <v>0</v>
      </c>
      <c r="E14" s="242"/>
      <c r="F14" s="242"/>
      <c r="G14" s="242"/>
      <c r="H14" s="234">
        <f t="shared" ref="H14:H23" si="2">SUM(D14:G14)</f>
        <v>0</v>
      </c>
    </row>
    <row r="15" spans="1:8" ht="26.45" customHeight="1" x14ac:dyDescent="0.2">
      <c r="A15" s="233"/>
      <c r="B15" s="774" t="s">
        <v>255</v>
      </c>
      <c r="C15" s="774"/>
      <c r="D15" s="234">
        <f>'File Copy'!I136</f>
        <v>0</v>
      </c>
      <c r="E15" s="242"/>
      <c r="F15" s="242"/>
      <c r="G15" s="242"/>
      <c r="H15" s="234">
        <f t="shared" si="2"/>
        <v>0</v>
      </c>
    </row>
    <row r="16" spans="1:8" ht="26.45" customHeight="1" x14ac:dyDescent="0.2">
      <c r="A16" s="233"/>
      <c r="B16" s="774" t="s">
        <v>256</v>
      </c>
      <c r="C16" s="774"/>
      <c r="D16" s="234">
        <f>'File Copy'!I131</f>
        <v>0</v>
      </c>
      <c r="E16" s="242"/>
      <c r="F16" s="242"/>
      <c r="G16" s="242"/>
      <c r="H16" s="234">
        <f t="shared" si="2"/>
        <v>0</v>
      </c>
    </row>
    <row r="17" spans="1:8" ht="26.45" customHeight="1" x14ac:dyDescent="0.2">
      <c r="A17" s="233"/>
      <c r="B17" s="774" t="s">
        <v>257</v>
      </c>
      <c r="C17" s="774"/>
      <c r="D17" s="234">
        <f>'File Copy'!I146</f>
        <v>0</v>
      </c>
      <c r="E17" s="242"/>
      <c r="F17" s="242"/>
      <c r="G17" s="242"/>
      <c r="H17" s="234">
        <f t="shared" si="2"/>
        <v>0</v>
      </c>
    </row>
    <row r="18" spans="1:8" ht="26.45" customHeight="1" x14ac:dyDescent="0.2">
      <c r="A18" s="233"/>
      <c r="B18" s="774" t="s">
        <v>258</v>
      </c>
      <c r="C18" s="774"/>
      <c r="D18" s="234">
        <f>SUM('File Copy'!I147,'File Copy'!I149,'File Copy'!I150)</f>
        <v>0</v>
      </c>
      <c r="E18" s="242"/>
      <c r="F18" s="242"/>
      <c r="G18" s="242"/>
      <c r="H18" s="234">
        <f t="shared" si="2"/>
        <v>0</v>
      </c>
    </row>
    <row r="19" spans="1:8" ht="26.45" customHeight="1" x14ac:dyDescent="0.2">
      <c r="A19" s="233"/>
      <c r="B19" s="787" t="s">
        <v>259</v>
      </c>
      <c r="C19" s="787"/>
      <c r="D19" s="235"/>
      <c r="E19" s="235"/>
      <c r="F19" s="235"/>
      <c r="G19" s="235"/>
      <c r="H19" s="235"/>
    </row>
    <row r="20" spans="1:8" ht="26.45" customHeight="1" x14ac:dyDescent="0.2">
      <c r="A20" s="233"/>
      <c r="B20" s="774" t="s">
        <v>260</v>
      </c>
      <c r="C20" s="774"/>
      <c r="D20" s="234">
        <f>'File Copy'!I174-SUM(D13:D18)</f>
        <v>0</v>
      </c>
      <c r="E20" s="242"/>
      <c r="F20" s="242"/>
      <c r="G20" s="242"/>
      <c r="H20" s="234">
        <f t="shared" si="2"/>
        <v>0</v>
      </c>
    </row>
    <row r="21" spans="1:8" ht="26.45" customHeight="1" x14ac:dyDescent="0.2">
      <c r="A21" s="233"/>
      <c r="B21" s="774" t="s">
        <v>261</v>
      </c>
      <c r="C21" s="774"/>
      <c r="D21" s="234">
        <f>SUM(D13:D20)</f>
        <v>0</v>
      </c>
      <c r="E21" s="242"/>
      <c r="F21" s="242"/>
      <c r="G21" s="242"/>
      <c r="H21" s="234">
        <f t="shared" si="2"/>
        <v>0</v>
      </c>
    </row>
    <row r="22" spans="1:8" ht="26.45" customHeight="1" x14ac:dyDescent="0.2">
      <c r="A22" s="233"/>
      <c r="B22" s="774" t="s">
        <v>262</v>
      </c>
      <c r="C22" s="774"/>
      <c r="D22" s="234">
        <f>'File Copy'!I176</f>
        <v>0</v>
      </c>
      <c r="E22" s="242"/>
      <c r="F22" s="242"/>
      <c r="G22" s="242"/>
      <c r="H22" s="234">
        <f t="shared" si="2"/>
        <v>0</v>
      </c>
    </row>
    <row r="23" spans="1:8" ht="26.45" customHeight="1" x14ac:dyDescent="0.2">
      <c r="A23" s="233"/>
      <c r="B23" s="774" t="s">
        <v>263</v>
      </c>
      <c r="C23" s="774"/>
      <c r="D23" s="234">
        <f>SUM(D21:D22)</f>
        <v>0</v>
      </c>
      <c r="E23" s="234">
        <f t="shared" ref="E23:G23" si="3">SUM(E21:E22)</f>
        <v>0</v>
      </c>
      <c r="F23" s="234">
        <f t="shared" si="3"/>
        <v>0</v>
      </c>
      <c r="G23" s="234">
        <f t="shared" si="3"/>
        <v>0</v>
      </c>
      <c r="H23" s="234">
        <f t="shared" si="2"/>
        <v>0</v>
      </c>
    </row>
    <row r="24" spans="1:8" x14ac:dyDescent="0.2">
      <c r="A24" s="782"/>
      <c r="B24" s="782"/>
      <c r="C24" s="782"/>
      <c r="D24" s="782"/>
      <c r="E24" s="782"/>
      <c r="F24" s="782"/>
      <c r="G24" s="782"/>
      <c r="H24" s="782"/>
    </row>
    <row r="25" spans="1:8" ht="26.45" customHeight="1" x14ac:dyDescent="0.2">
      <c r="A25" s="776" t="s">
        <v>284</v>
      </c>
      <c r="B25" s="776"/>
      <c r="C25" s="776"/>
      <c r="D25" s="233"/>
      <c r="E25" s="233"/>
      <c r="F25" s="233"/>
      <c r="G25" s="233"/>
      <c r="H25" s="234">
        <f>SUM(D25:G25)</f>
        <v>0</v>
      </c>
    </row>
    <row r="26" spans="1:8" x14ac:dyDescent="0.2">
      <c r="A26" s="779" t="s">
        <v>285</v>
      </c>
      <c r="B26" s="779"/>
      <c r="C26" s="779"/>
      <c r="D26" s="779"/>
      <c r="E26" s="779"/>
      <c r="F26" s="779"/>
      <c r="G26" s="779"/>
      <c r="H26" s="779"/>
    </row>
    <row r="27" spans="1:8" ht="26.45" customHeight="1" x14ac:dyDescent="0.2">
      <c r="A27" s="783" t="s">
        <v>307</v>
      </c>
      <c r="B27" s="783"/>
      <c r="C27" s="783"/>
      <c r="D27" s="783"/>
      <c r="E27" s="236" t="s">
        <v>303</v>
      </c>
      <c r="F27" s="239" t="s">
        <v>304</v>
      </c>
      <c r="G27" s="236" t="s">
        <v>305</v>
      </c>
      <c r="H27" s="236" t="s">
        <v>306</v>
      </c>
    </row>
    <row r="28" spans="1:8" ht="26.45" customHeight="1" x14ac:dyDescent="0.2">
      <c r="A28" s="237" t="s">
        <v>290</v>
      </c>
      <c r="B28" s="778">
        <f>B5</f>
        <v>0</v>
      </c>
      <c r="C28" s="778"/>
      <c r="D28" s="778"/>
      <c r="E28" s="242"/>
      <c r="F28" s="242"/>
      <c r="G28" s="242"/>
      <c r="H28" s="234">
        <f>SUM(E28:G28)</f>
        <v>0</v>
      </c>
    </row>
    <row r="29" spans="1:8" ht="26.45" customHeight="1" x14ac:dyDescent="0.2">
      <c r="A29" s="237" t="s">
        <v>289</v>
      </c>
      <c r="B29" s="778">
        <f t="shared" ref="B29:B31" si="4">B6</f>
        <v>0</v>
      </c>
      <c r="C29" s="778"/>
      <c r="D29" s="778"/>
      <c r="E29" s="242"/>
      <c r="F29" s="242"/>
      <c r="G29" s="242"/>
      <c r="H29" s="234">
        <f t="shared" ref="H29:H32" si="5">SUM(E29:G29)</f>
        <v>0</v>
      </c>
    </row>
    <row r="30" spans="1:8" ht="26.45" customHeight="1" x14ac:dyDescent="0.2">
      <c r="A30" s="237" t="s">
        <v>288</v>
      </c>
      <c r="B30" s="778">
        <f t="shared" si="4"/>
        <v>0</v>
      </c>
      <c r="C30" s="778"/>
      <c r="D30" s="778"/>
      <c r="E30" s="242"/>
      <c r="F30" s="242"/>
      <c r="G30" s="242"/>
      <c r="H30" s="234">
        <f t="shared" si="5"/>
        <v>0</v>
      </c>
    </row>
    <row r="31" spans="1:8" ht="26.45" customHeight="1" x14ac:dyDescent="0.2">
      <c r="A31" s="237" t="s">
        <v>287</v>
      </c>
      <c r="B31" s="778">
        <f t="shared" si="4"/>
        <v>0</v>
      </c>
      <c r="C31" s="778"/>
      <c r="D31" s="778"/>
      <c r="E31" s="242"/>
      <c r="F31" s="242"/>
      <c r="G31" s="242"/>
      <c r="H31" s="234">
        <f t="shared" si="5"/>
        <v>0</v>
      </c>
    </row>
    <row r="32" spans="1:8" ht="26.45" customHeight="1" x14ac:dyDescent="0.2">
      <c r="A32" s="237" t="s">
        <v>286</v>
      </c>
      <c r="B32" s="776" t="s">
        <v>308</v>
      </c>
      <c r="C32" s="774"/>
      <c r="D32" s="774"/>
      <c r="E32" s="234">
        <f>SUM(E28:E31)</f>
        <v>0</v>
      </c>
      <c r="F32" s="234">
        <f t="shared" ref="F32:G32" si="6">SUM(F28:F31)</f>
        <v>0</v>
      </c>
      <c r="G32" s="234">
        <f t="shared" si="6"/>
        <v>0</v>
      </c>
      <c r="H32" s="234">
        <f t="shared" si="5"/>
        <v>0</v>
      </c>
    </row>
    <row r="33" spans="1:8" ht="26.45" customHeight="1" x14ac:dyDescent="0.2">
      <c r="A33" s="779" t="s">
        <v>291</v>
      </c>
      <c r="B33" s="779"/>
      <c r="C33" s="779"/>
      <c r="D33" s="779"/>
      <c r="E33" s="779"/>
      <c r="F33" s="779"/>
      <c r="G33" s="779"/>
      <c r="H33" s="779"/>
    </row>
    <row r="34" spans="1:8" ht="13.15" customHeight="1" x14ac:dyDescent="0.2">
      <c r="A34" s="233"/>
      <c r="B34" s="774"/>
      <c r="C34" s="774"/>
      <c r="D34" s="236" t="s">
        <v>311</v>
      </c>
      <c r="E34" s="236" t="s">
        <v>312</v>
      </c>
      <c r="F34" s="236" t="s">
        <v>313</v>
      </c>
      <c r="G34" s="236" t="s">
        <v>314</v>
      </c>
      <c r="H34" s="236" t="s">
        <v>315</v>
      </c>
    </row>
    <row r="35" spans="1:8" ht="26.45" customHeight="1" x14ac:dyDescent="0.2">
      <c r="A35" s="237" t="s">
        <v>293</v>
      </c>
      <c r="B35" s="776" t="s">
        <v>60</v>
      </c>
      <c r="C35" s="776"/>
      <c r="D35" s="234">
        <f>IF('Personnel Yr 1'!O5="Federal",D23,0)</f>
        <v>0</v>
      </c>
      <c r="E35" s="234">
        <f>D35/4</f>
        <v>0</v>
      </c>
      <c r="F35" s="234">
        <f>D35/4</f>
        <v>0</v>
      </c>
      <c r="G35" s="234">
        <f>D35/4</f>
        <v>0</v>
      </c>
      <c r="H35" s="234">
        <f>D35/4</f>
        <v>0</v>
      </c>
    </row>
    <row r="36" spans="1:8" ht="26.45" customHeight="1" x14ac:dyDescent="0.2">
      <c r="A36" s="237" t="s">
        <v>294</v>
      </c>
      <c r="B36" s="776" t="s">
        <v>309</v>
      </c>
      <c r="C36" s="774"/>
      <c r="D36" s="234">
        <f>IF('Personnel Yr 1'!O5&lt;&gt;"Federal",D23,0)</f>
        <v>0</v>
      </c>
      <c r="E36" s="234">
        <f>D36/4</f>
        <v>0</v>
      </c>
      <c r="F36" s="234">
        <f>D36/4</f>
        <v>0</v>
      </c>
      <c r="G36" s="234">
        <f>D36/4</f>
        <v>0</v>
      </c>
      <c r="H36" s="234">
        <f>D36/4</f>
        <v>0</v>
      </c>
    </row>
    <row r="37" spans="1:8" ht="26.45" customHeight="1" x14ac:dyDescent="0.2">
      <c r="A37" s="237" t="s">
        <v>295</v>
      </c>
      <c r="B37" s="776" t="s">
        <v>310</v>
      </c>
      <c r="C37" s="774"/>
      <c r="D37" s="234">
        <f>SUM(D35:D36)</f>
        <v>0</v>
      </c>
      <c r="E37" s="234">
        <f t="shared" ref="E37:G37" si="7">SUM(E35:E36)</f>
        <v>0</v>
      </c>
      <c r="F37" s="234">
        <f t="shared" si="7"/>
        <v>0</v>
      </c>
      <c r="G37" s="234">
        <f t="shared" si="7"/>
        <v>0</v>
      </c>
      <c r="H37" s="234">
        <f>SUM(H35:H36)</f>
        <v>0</v>
      </c>
    </row>
    <row r="38" spans="1:8" ht="26.45" customHeight="1" x14ac:dyDescent="0.2">
      <c r="A38" s="779" t="s">
        <v>292</v>
      </c>
      <c r="B38" s="779"/>
      <c r="C38" s="779"/>
      <c r="D38" s="779"/>
      <c r="E38" s="779"/>
      <c r="F38" s="779"/>
      <c r="G38" s="779"/>
      <c r="H38" s="779"/>
    </row>
    <row r="39" spans="1:8" ht="13.15" customHeight="1" x14ac:dyDescent="0.2">
      <c r="A39" s="780" t="s">
        <v>307</v>
      </c>
      <c r="B39" s="780"/>
      <c r="C39" s="780"/>
      <c r="D39" s="780"/>
      <c r="E39" s="781" t="s">
        <v>316</v>
      </c>
      <c r="F39" s="781"/>
      <c r="G39" s="781"/>
      <c r="H39" s="781"/>
    </row>
    <row r="40" spans="1:8" ht="13.15" customHeight="1" x14ac:dyDescent="0.2">
      <c r="A40" s="780"/>
      <c r="B40" s="780"/>
      <c r="C40" s="780"/>
      <c r="D40" s="780"/>
      <c r="E40" s="240" t="s">
        <v>317</v>
      </c>
      <c r="F40" s="240" t="s">
        <v>318</v>
      </c>
      <c r="G40" s="240" t="s">
        <v>319</v>
      </c>
      <c r="H40" s="240" t="s">
        <v>320</v>
      </c>
    </row>
    <row r="41" spans="1:8" ht="26.45" customHeight="1" x14ac:dyDescent="0.2">
      <c r="A41" s="237" t="s">
        <v>296</v>
      </c>
      <c r="B41" s="778">
        <f>B5</f>
        <v>0</v>
      </c>
      <c r="C41" s="778"/>
      <c r="D41" s="778"/>
      <c r="E41" s="242"/>
      <c r="F41" s="242"/>
      <c r="G41" s="242"/>
      <c r="H41" s="242"/>
    </row>
    <row r="42" spans="1:8" ht="26.45" customHeight="1" x14ac:dyDescent="0.2">
      <c r="A42" s="237" t="s">
        <v>297</v>
      </c>
      <c r="B42" s="778">
        <f t="shared" ref="B42:B44" si="8">B6</f>
        <v>0</v>
      </c>
      <c r="C42" s="778"/>
      <c r="D42" s="778"/>
      <c r="E42" s="242"/>
      <c r="F42" s="242"/>
      <c r="G42" s="242"/>
      <c r="H42" s="242"/>
    </row>
    <row r="43" spans="1:8" ht="26.45" customHeight="1" x14ac:dyDescent="0.2">
      <c r="A43" s="237" t="s">
        <v>298</v>
      </c>
      <c r="B43" s="778">
        <f t="shared" si="8"/>
        <v>0</v>
      </c>
      <c r="C43" s="778"/>
      <c r="D43" s="778"/>
      <c r="E43" s="242"/>
      <c r="F43" s="242"/>
      <c r="G43" s="242"/>
      <c r="H43" s="242"/>
    </row>
    <row r="44" spans="1:8" ht="26.45" customHeight="1" x14ac:dyDescent="0.2">
      <c r="A44" s="237" t="s">
        <v>299</v>
      </c>
      <c r="B44" s="778">
        <f t="shared" si="8"/>
        <v>0</v>
      </c>
      <c r="C44" s="778"/>
      <c r="D44" s="778"/>
      <c r="E44" s="242"/>
      <c r="F44" s="242"/>
      <c r="G44" s="242"/>
      <c r="H44" s="242"/>
    </row>
    <row r="45" spans="1:8" ht="26.45" customHeight="1" x14ac:dyDescent="0.2">
      <c r="A45" s="237" t="s">
        <v>300</v>
      </c>
      <c r="B45" s="774" t="s">
        <v>321</v>
      </c>
      <c r="C45" s="774"/>
      <c r="D45" s="774"/>
      <c r="E45" s="234">
        <f>SUM(E41:E44)</f>
        <v>0</v>
      </c>
      <c r="F45" s="234">
        <f t="shared" ref="F45:H45" si="9">SUM(F41:F44)</f>
        <v>0</v>
      </c>
      <c r="G45" s="234">
        <f t="shared" si="9"/>
        <v>0</v>
      </c>
      <c r="H45" s="234">
        <f t="shared" si="9"/>
        <v>0</v>
      </c>
    </row>
    <row r="46" spans="1:8" ht="26.45" customHeight="1" x14ac:dyDescent="0.2">
      <c r="A46" s="779" t="s">
        <v>322</v>
      </c>
      <c r="B46" s="779"/>
      <c r="C46" s="779"/>
      <c r="D46" s="779"/>
      <c r="E46" s="779"/>
      <c r="F46" s="779"/>
      <c r="G46" s="779"/>
      <c r="H46" s="779"/>
    </row>
    <row r="47" spans="1:8" ht="13.15" customHeight="1" x14ac:dyDescent="0.2">
      <c r="A47" s="237" t="s">
        <v>301</v>
      </c>
      <c r="B47" s="774" t="s">
        <v>323</v>
      </c>
      <c r="C47" s="774"/>
      <c r="D47" s="774"/>
      <c r="E47" s="241" t="s">
        <v>325</v>
      </c>
      <c r="F47" s="774" t="s">
        <v>326</v>
      </c>
      <c r="G47" s="774"/>
      <c r="H47" s="774"/>
    </row>
    <row r="48" spans="1:8" ht="13.15" customHeight="1" x14ac:dyDescent="0.2">
      <c r="A48" s="237"/>
      <c r="B48" s="775">
        <f>D21</f>
        <v>0</v>
      </c>
      <c r="C48" s="775"/>
      <c r="D48" s="775"/>
      <c r="E48" s="233"/>
      <c r="F48" s="775">
        <f>D22</f>
        <v>0</v>
      </c>
      <c r="G48" s="775"/>
      <c r="H48" s="775"/>
    </row>
    <row r="49" spans="1:8" ht="26.45" customHeight="1" x14ac:dyDescent="0.2">
      <c r="A49" s="237" t="s">
        <v>302</v>
      </c>
      <c r="B49" s="233" t="s">
        <v>324</v>
      </c>
      <c r="C49" s="774"/>
      <c r="D49" s="774"/>
      <c r="E49" s="774"/>
      <c r="F49" s="774"/>
      <c r="G49" s="774"/>
      <c r="H49" s="774"/>
    </row>
  </sheetData>
  <sheetProtection algorithmName="SHA-512" hashValue="1Coi7Odydmru+9vaKKStlsbGH6FQYaiWS9nqwoyFncdaTAf5wYYcexSCxKgVdroitqNcLYE3Y10KKe75y4VqmQ==" saltValue="UUj8VedIT3bEe/ji5JuoXQ==" spinCount="100000" sheet="1" objects="1" scenarios="1"/>
  <mergeCells count="50">
    <mergeCell ref="B23:C23"/>
    <mergeCell ref="B22:C22"/>
    <mergeCell ref="B21:C21"/>
    <mergeCell ref="B20:C20"/>
    <mergeCell ref="B19:C19"/>
    <mergeCell ref="B13:C13"/>
    <mergeCell ref="D3:E3"/>
    <mergeCell ref="F3:H3"/>
    <mergeCell ref="B3:B4"/>
    <mergeCell ref="C3:C4"/>
    <mergeCell ref="B18:C18"/>
    <mergeCell ref="B17:C17"/>
    <mergeCell ref="B16:C16"/>
    <mergeCell ref="B15:C15"/>
    <mergeCell ref="B14:C14"/>
    <mergeCell ref="A2:H2"/>
    <mergeCell ref="A10:H10"/>
    <mergeCell ref="A11:C12"/>
    <mergeCell ref="D11:G11"/>
    <mergeCell ref="H11:H12"/>
    <mergeCell ref="A24:H24"/>
    <mergeCell ref="A25:C25"/>
    <mergeCell ref="A26:H26"/>
    <mergeCell ref="A27:D27"/>
    <mergeCell ref="B32:D32"/>
    <mergeCell ref="B31:D31"/>
    <mergeCell ref="B28:D28"/>
    <mergeCell ref="A33:H33"/>
    <mergeCell ref="A38:H38"/>
    <mergeCell ref="A46:H46"/>
    <mergeCell ref="A39:D40"/>
    <mergeCell ref="E39:H39"/>
    <mergeCell ref="B45:D45"/>
    <mergeCell ref="B44:D44"/>
    <mergeCell ref="C49:H49"/>
    <mergeCell ref="F47:H47"/>
    <mergeCell ref="F48:H48"/>
    <mergeCell ref="B9:C9"/>
    <mergeCell ref="A1:H1"/>
    <mergeCell ref="B43:D43"/>
    <mergeCell ref="B42:D42"/>
    <mergeCell ref="B41:D41"/>
    <mergeCell ref="B47:D47"/>
    <mergeCell ref="B48:D48"/>
    <mergeCell ref="B37:C37"/>
    <mergeCell ref="B36:C36"/>
    <mergeCell ref="B35:C35"/>
    <mergeCell ref="B34:C34"/>
    <mergeCell ref="B30:D30"/>
    <mergeCell ref="B29:D29"/>
  </mergeCells>
  <printOptions horizontalCentered="1"/>
  <pageMargins left="0.5" right="0.5" top="0.5" bottom="0.25" header="0.5" footer="0.25"/>
  <pageSetup orientation="landscape" verticalDpi="0" r:id="rId1"/>
  <ignoredErrors>
    <ignoredError sqref="E47 A47:A49 A41:A45 A34:A37 A28:A32 A5:A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6"/>
  <sheetViews>
    <sheetView workbookViewId="0">
      <selection sqref="A1:M1"/>
    </sheetView>
  </sheetViews>
  <sheetFormatPr defaultRowHeight="12.75" x14ac:dyDescent="0.2"/>
  <cols>
    <col min="1" max="1" width="3.28515625" style="251" customWidth="1"/>
    <col min="2" max="2" width="7.85546875" style="251" customWidth="1"/>
    <col min="3" max="17" width="7.85546875" customWidth="1"/>
  </cols>
  <sheetData>
    <row r="1" spans="1:17" ht="16.899999999999999" customHeight="1" thickTop="1" x14ac:dyDescent="0.2">
      <c r="A1" s="820" t="s">
        <v>328</v>
      </c>
      <c r="B1" s="821"/>
      <c r="C1" s="821"/>
      <c r="D1" s="821"/>
      <c r="E1" s="821"/>
      <c r="F1" s="821"/>
      <c r="G1" s="821"/>
      <c r="H1" s="821"/>
      <c r="I1" s="821"/>
      <c r="J1" s="821"/>
      <c r="K1" s="821"/>
      <c r="L1" s="821"/>
      <c r="M1" s="822"/>
      <c r="N1" s="805" t="s">
        <v>331</v>
      </c>
      <c r="O1" s="806"/>
      <c r="P1" s="806"/>
      <c r="Q1" s="807"/>
    </row>
    <row r="2" spans="1:17" ht="16.899999999999999" customHeight="1" x14ac:dyDescent="0.2">
      <c r="A2" s="817" t="s">
        <v>329</v>
      </c>
      <c r="B2" s="818"/>
      <c r="C2" s="818"/>
      <c r="D2" s="818"/>
      <c r="E2" s="818"/>
      <c r="F2" s="818"/>
      <c r="G2" s="818"/>
      <c r="H2" s="818"/>
      <c r="I2" s="818"/>
      <c r="J2" s="818"/>
      <c r="K2" s="818"/>
      <c r="L2" s="818"/>
      <c r="M2" s="819"/>
      <c r="N2" s="791" t="s">
        <v>395</v>
      </c>
      <c r="O2" s="792"/>
      <c r="P2" s="792"/>
      <c r="Q2" s="793"/>
    </row>
    <row r="3" spans="1:17" ht="16.899999999999999" customHeight="1" thickBot="1" x14ac:dyDescent="0.25">
      <c r="A3" s="817" t="s">
        <v>330</v>
      </c>
      <c r="B3" s="818"/>
      <c r="C3" s="818"/>
      <c r="D3" s="818"/>
      <c r="E3" s="818"/>
      <c r="F3" s="818"/>
      <c r="G3" s="818"/>
      <c r="H3" s="818"/>
      <c r="I3" s="818"/>
      <c r="J3" s="818"/>
      <c r="K3" s="818"/>
      <c r="L3" s="818"/>
      <c r="M3" s="819"/>
      <c r="N3" s="808"/>
      <c r="O3" s="809"/>
      <c r="P3" s="809"/>
      <c r="Q3" s="810"/>
    </row>
    <row r="4" spans="1:17" ht="16.899999999999999" customHeight="1" x14ac:dyDescent="0.2">
      <c r="A4" s="797" t="s">
        <v>332</v>
      </c>
      <c r="B4" s="798"/>
      <c r="C4" s="798"/>
      <c r="D4" s="798"/>
      <c r="E4" s="798"/>
      <c r="F4" s="798"/>
      <c r="G4" s="798"/>
      <c r="H4" s="798"/>
      <c r="I4" s="788" t="s">
        <v>333</v>
      </c>
      <c r="J4" s="789"/>
      <c r="K4" s="789"/>
      <c r="L4" s="789"/>
      <c r="M4" s="789"/>
      <c r="N4" s="789"/>
      <c r="O4" s="789"/>
      <c r="P4" s="789"/>
      <c r="Q4" s="790"/>
    </row>
    <row r="5" spans="1:17" ht="16.899999999999999" customHeight="1" x14ac:dyDescent="0.2">
      <c r="A5" s="799" t="s">
        <v>349</v>
      </c>
      <c r="B5" s="792"/>
      <c r="C5" s="792"/>
      <c r="D5" s="792"/>
      <c r="E5" s="792"/>
      <c r="F5" s="792"/>
      <c r="G5" s="792"/>
      <c r="H5" s="792"/>
      <c r="I5" s="791"/>
      <c r="J5" s="792"/>
      <c r="K5" s="792"/>
      <c r="L5" s="792"/>
      <c r="M5" s="792"/>
      <c r="N5" s="792"/>
      <c r="O5" s="792"/>
      <c r="P5" s="792"/>
      <c r="Q5" s="793"/>
    </row>
    <row r="6" spans="1:17" ht="16.899999999999999" customHeight="1" thickBot="1" x14ac:dyDescent="0.25">
      <c r="A6" s="800"/>
      <c r="B6" s="795"/>
      <c r="C6" s="795"/>
      <c r="D6" s="795"/>
      <c r="E6" s="795"/>
      <c r="F6" s="795"/>
      <c r="G6" s="795"/>
      <c r="H6" s="795"/>
      <c r="I6" s="794"/>
      <c r="J6" s="795"/>
      <c r="K6" s="795"/>
      <c r="L6" s="795"/>
      <c r="M6" s="795"/>
      <c r="N6" s="795"/>
      <c r="O6" s="795"/>
      <c r="P6" s="795"/>
      <c r="Q6" s="796"/>
    </row>
    <row r="7" spans="1:17" ht="16.899999999999999" customHeight="1" x14ac:dyDescent="0.2">
      <c r="A7" s="827" t="s">
        <v>283</v>
      </c>
      <c r="B7" s="828"/>
      <c r="C7" s="828"/>
      <c r="D7" s="828"/>
      <c r="E7" s="828"/>
      <c r="F7" s="828"/>
      <c r="G7" s="828"/>
      <c r="H7" s="828"/>
      <c r="I7" s="828"/>
      <c r="J7" s="828"/>
      <c r="K7" s="828"/>
      <c r="L7" s="828"/>
      <c r="M7" s="828"/>
      <c r="N7" s="828"/>
      <c r="O7" s="828"/>
      <c r="P7" s="828"/>
      <c r="Q7" s="829"/>
    </row>
    <row r="8" spans="1:17" ht="16.899999999999999" customHeight="1" thickBot="1" x14ac:dyDescent="0.25">
      <c r="A8" s="827" t="s">
        <v>334</v>
      </c>
      <c r="B8" s="828"/>
      <c r="C8" s="828"/>
      <c r="D8" s="828"/>
      <c r="E8" s="828"/>
      <c r="F8" s="828"/>
      <c r="G8" s="828"/>
      <c r="H8" s="828"/>
      <c r="I8" s="828"/>
      <c r="J8" s="828"/>
      <c r="K8" s="828"/>
      <c r="L8" s="828"/>
      <c r="M8" s="828"/>
      <c r="N8" s="828"/>
      <c r="O8" s="828"/>
      <c r="P8" s="828"/>
      <c r="Q8" s="829"/>
    </row>
    <row r="9" spans="1:17" ht="16.899999999999999" customHeight="1" thickBot="1" x14ac:dyDescent="0.25">
      <c r="A9" s="823" t="s">
        <v>335</v>
      </c>
      <c r="B9" s="824"/>
      <c r="C9" s="824"/>
      <c r="D9" s="824"/>
      <c r="E9" s="824"/>
      <c r="F9" s="830" t="s">
        <v>336</v>
      </c>
      <c r="G9" s="830"/>
      <c r="H9" s="830" t="s">
        <v>338</v>
      </c>
      <c r="I9" s="830"/>
      <c r="J9" s="830" t="s">
        <v>340</v>
      </c>
      <c r="K9" s="830"/>
      <c r="L9" s="830" t="s">
        <v>342</v>
      </c>
      <c r="M9" s="830"/>
      <c r="N9" s="830" t="s">
        <v>344</v>
      </c>
      <c r="O9" s="830"/>
      <c r="P9" s="830" t="s">
        <v>37</v>
      </c>
      <c r="Q9" s="831"/>
    </row>
    <row r="10" spans="1:17" ht="16.899999999999999" customHeight="1" thickBot="1" x14ac:dyDescent="0.25">
      <c r="A10" s="823"/>
      <c r="B10" s="824"/>
      <c r="C10" s="824"/>
      <c r="D10" s="824"/>
      <c r="E10" s="824"/>
      <c r="F10" s="838" t="s">
        <v>337</v>
      </c>
      <c r="G10" s="838"/>
      <c r="H10" s="838" t="s">
        <v>339</v>
      </c>
      <c r="I10" s="838"/>
      <c r="J10" s="838" t="s">
        <v>341</v>
      </c>
      <c r="K10" s="838"/>
      <c r="L10" s="838" t="s">
        <v>343</v>
      </c>
      <c r="M10" s="838"/>
      <c r="N10" s="838" t="s">
        <v>345</v>
      </c>
      <c r="O10" s="838"/>
      <c r="P10" s="838" t="s">
        <v>346</v>
      </c>
      <c r="Q10" s="839"/>
    </row>
    <row r="11" spans="1:17" ht="16.899999999999999" customHeight="1" thickBot="1" x14ac:dyDescent="0.25">
      <c r="A11" s="257" t="s">
        <v>265</v>
      </c>
      <c r="B11" s="832" t="s">
        <v>369</v>
      </c>
      <c r="C11" s="832"/>
      <c r="D11" s="832"/>
      <c r="E11" s="833"/>
      <c r="F11" s="836">
        <f>'File Copy'!D117</f>
        <v>0</v>
      </c>
      <c r="G11" s="840"/>
      <c r="H11" s="836">
        <f>'File Copy'!E117</f>
        <v>0</v>
      </c>
      <c r="I11" s="840"/>
      <c r="J11" s="836">
        <f>'File Copy'!F117</f>
        <v>0</v>
      </c>
      <c r="K11" s="840"/>
      <c r="L11" s="836">
        <f>'File Copy'!G117</f>
        <v>0</v>
      </c>
      <c r="M11" s="840"/>
      <c r="N11" s="836">
        <f>'File Copy'!H117</f>
        <v>0</v>
      </c>
      <c r="O11" s="840"/>
      <c r="P11" s="836">
        <f t="shared" ref="P11:P16" si="0">SUM(F11:O11)</f>
        <v>0</v>
      </c>
      <c r="Q11" s="837"/>
    </row>
    <row r="12" spans="1:17" ht="16.899999999999999" customHeight="1" thickBot="1" x14ac:dyDescent="0.25">
      <c r="A12" s="257" t="s">
        <v>266</v>
      </c>
      <c r="B12" s="832" t="s">
        <v>42</v>
      </c>
      <c r="C12" s="832"/>
      <c r="D12" s="832"/>
      <c r="E12" s="833"/>
      <c r="F12" s="836">
        <f>'File Copy'!D125</f>
        <v>0</v>
      </c>
      <c r="G12" s="840"/>
      <c r="H12" s="836">
        <f>'File Copy'!E125</f>
        <v>0</v>
      </c>
      <c r="I12" s="840"/>
      <c r="J12" s="836">
        <f>'File Copy'!F125</f>
        <v>0</v>
      </c>
      <c r="K12" s="840"/>
      <c r="L12" s="836">
        <f>'File Copy'!G125</f>
        <v>0</v>
      </c>
      <c r="M12" s="840"/>
      <c r="N12" s="836">
        <f>'File Copy'!H125</f>
        <v>0</v>
      </c>
      <c r="O12" s="840"/>
      <c r="P12" s="836">
        <f t="shared" si="0"/>
        <v>0</v>
      </c>
      <c r="Q12" s="837"/>
    </row>
    <row r="13" spans="1:17" ht="16.899999999999999" customHeight="1" thickBot="1" x14ac:dyDescent="0.25">
      <c r="A13" s="257" t="s">
        <v>267</v>
      </c>
      <c r="B13" s="832" t="s">
        <v>25</v>
      </c>
      <c r="C13" s="832"/>
      <c r="D13" s="832"/>
      <c r="E13" s="833"/>
      <c r="F13" s="836">
        <f>'File Copy'!D136</f>
        <v>0</v>
      </c>
      <c r="G13" s="840"/>
      <c r="H13" s="836">
        <f>'File Copy'!E136</f>
        <v>0</v>
      </c>
      <c r="I13" s="840"/>
      <c r="J13" s="836">
        <f>'File Copy'!F136</f>
        <v>0</v>
      </c>
      <c r="K13" s="840"/>
      <c r="L13" s="836">
        <f>'File Copy'!G136</f>
        <v>0</v>
      </c>
      <c r="M13" s="840"/>
      <c r="N13" s="836">
        <f>'File Copy'!H136</f>
        <v>0</v>
      </c>
      <c r="O13" s="840"/>
      <c r="P13" s="836">
        <f t="shared" si="0"/>
        <v>0</v>
      </c>
      <c r="Q13" s="837"/>
    </row>
    <row r="14" spans="1:17" ht="16.899999999999999" customHeight="1" thickBot="1" x14ac:dyDescent="0.25">
      <c r="A14" s="257" t="s">
        <v>268</v>
      </c>
      <c r="B14" s="832" t="s">
        <v>370</v>
      </c>
      <c r="C14" s="832"/>
      <c r="D14" s="832"/>
      <c r="E14" s="833"/>
      <c r="F14" s="836">
        <f>'File Copy'!D131</f>
        <v>0</v>
      </c>
      <c r="G14" s="840"/>
      <c r="H14" s="836">
        <f>'File Copy'!E131</f>
        <v>0</v>
      </c>
      <c r="I14" s="840"/>
      <c r="J14" s="836">
        <f>'File Copy'!F131</f>
        <v>0</v>
      </c>
      <c r="K14" s="840"/>
      <c r="L14" s="836">
        <f>'File Copy'!G131</f>
        <v>0</v>
      </c>
      <c r="M14" s="840"/>
      <c r="N14" s="836">
        <f>'File Copy'!H131</f>
        <v>0</v>
      </c>
      <c r="O14" s="840"/>
      <c r="P14" s="836">
        <f t="shared" si="0"/>
        <v>0</v>
      </c>
      <c r="Q14" s="837"/>
    </row>
    <row r="15" spans="1:17" ht="16.899999999999999" customHeight="1" thickBot="1" x14ac:dyDescent="0.25">
      <c r="A15" s="257" t="s">
        <v>358</v>
      </c>
      <c r="B15" s="832" t="s">
        <v>371</v>
      </c>
      <c r="C15" s="832"/>
      <c r="D15" s="832"/>
      <c r="E15" s="833"/>
      <c r="F15" s="836">
        <f>'File Copy'!D146</f>
        <v>0</v>
      </c>
      <c r="G15" s="840"/>
      <c r="H15" s="836">
        <f>'File Copy'!E146</f>
        <v>0</v>
      </c>
      <c r="I15" s="840"/>
      <c r="J15" s="836">
        <f>'File Copy'!F146</f>
        <v>0</v>
      </c>
      <c r="K15" s="840"/>
      <c r="L15" s="836">
        <f>'File Copy'!G146</f>
        <v>0</v>
      </c>
      <c r="M15" s="840"/>
      <c r="N15" s="836">
        <f>'File Copy'!H146</f>
        <v>0</v>
      </c>
      <c r="O15" s="840"/>
      <c r="P15" s="836">
        <f t="shared" si="0"/>
        <v>0</v>
      </c>
      <c r="Q15" s="837"/>
    </row>
    <row r="16" spans="1:17" ht="16.899999999999999" customHeight="1" thickBot="1" x14ac:dyDescent="0.25">
      <c r="A16" s="257" t="s">
        <v>359</v>
      </c>
      <c r="B16" s="832" t="s">
        <v>372</v>
      </c>
      <c r="C16" s="832"/>
      <c r="D16" s="832"/>
      <c r="E16" s="833"/>
      <c r="F16" s="836">
        <f>SUM('File Copy'!D147,'File Copy'!D149,'File Copy'!D150)</f>
        <v>0</v>
      </c>
      <c r="G16" s="840"/>
      <c r="H16" s="836">
        <f>SUM('File Copy'!E147,'File Copy'!E149,'File Copy'!E150)</f>
        <v>0</v>
      </c>
      <c r="I16" s="840"/>
      <c r="J16" s="836">
        <f>SUM('File Copy'!F147,'File Copy'!F149,'File Copy'!F150)</f>
        <v>0</v>
      </c>
      <c r="K16" s="840"/>
      <c r="L16" s="836">
        <f>SUM('File Copy'!G147,'File Copy'!G149,'File Copy'!G150)</f>
        <v>0</v>
      </c>
      <c r="M16" s="840"/>
      <c r="N16" s="836">
        <f>SUM('File Copy'!H147,'File Copy'!H149,'File Copy'!H150)</f>
        <v>0</v>
      </c>
      <c r="O16" s="840"/>
      <c r="P16" s="836">
        <f t="shared" si="0"/>
        <v>0</v>
      </c>
      <c r="Q16" s="837"/>
    </row>
    <row r="17" spans="1:17" ht="16.899999999999999" customHeight="1" thickBot="1" x14ac:dyDescent="0.25">
      <c r="A17" s="260" t="s">
        <v>360</v>
      </c>
      <c r="B17" s="834" t="s">
        <v>373</v>
      </c>
      <c r="C17" s="834"/>
      <c r="D17" s="834"/>
      <c r="E17" s="835"/>
      <c r="F17" s="844"/>
      <c r="G17" s="845"/>
      <c r="H17" s="841"/>
      <c r="I17" s="843"/>
      <c r="J17" s="841"/>
      <c r="K17" s="843"/>
      <c r="L17" s="841"/>
      <c r="M17" s="843"/>
      <c r="N17" s="841"/>
      <c r="O17" s="843"/>
      <c r="P17" s="841"/>
      <c r="Q17" s="842"/>
    </row>
    <row r="18" spans="1:17" ht="16.899999999999999" customHeight="1" thickBot="1" x14ac:dyDescent="0.25">
      <c r="A18" s="257" t="s">
        <v>361</v>
      </c>
      <c r="B18" s="832" t="s">
        <v>27</v>
      </c>
      <c r="C18" s="832"/>
      <c r="D18" s="832"/>
      <c r="E18" s="833"/>
      <c r="F18" s="836">
        <f>F19-SUM(F11:G16,F21)</f>
        <v>0</v>
      </c>
      <c r="G18" s="840"/>
      <c r="H18" s="836">
        <f>H19-SUM(H11:I16,H21)</f>
        <v>0</v>
      </c>
      <c r="I18" s="840"/>
      <c r="J18" s="836">
        <f>J19-SUM(J11:K16,J21)</f>
        <v>0</v>
      </c>
      <c r="K18" s="840"/>
      <c r="L18" s="836">
        <f>L19-SUM(L11:M16,L21)</f>
        <v>0</v>
      </c>
      <c r="M18" s="840"/>
      <c r="N18" s="836">
        <f>N19-SUM(N11:O16,N21)</f>
        <v>0</v>
      </c>
      <c r="O18" s="840"/>
      <c r="P18" s="836">
        <f>SUM(F18:O18)</f>
        <v>0</v>
      </c>
      <c r="Q18" s="837"/>
    </row>
    <row r="19" spans="1:17" ht="16.899999999999999" customHeight="1" thickBot="1" x14ac:dyDescent="0.25">
      <c r="A19" s="257" t="s">
        <v>362</v>
      </c>
      <c r="B19" s="832" t="s">
        <v>374</v>
      </c>
      <c r="C19" s="832"/>
      <c r="D19" s="832"/>
      <c r="E19" s="833"/>
      <c r="F19" s="836">
        <f>'File Copy'!D174</f>
        <v>0</v>
      </c>
      <c r="G19" s="840"/>
      <c r="H19" s="836">
        <f>'File Copy'!E174</f>
        <v>0</v>
      </c>
      <c r="I19" s="840"/>
      <c r="J19" s="836">
        <f>'File Copy'!F174</f>
        <v>0</v>
      </c>
      <c r="K19" s="840"/>
      <c r="L19" s="836">
        <f>'File Copy'!G174</f>
        <v>0</v>
      </c>
      <c r="M19" s="840"/>
      <c r="N19" s="836">
        <f>'File Copy'!H174</f>
        <v>0</v>
      </c>
      <c r="O19" s="840"/>
      <c r="P19" s="836">
        <f>SUM(F19:O19)</f>
        <v>0</v>
      </c>
      <c r="Q19" s="837"/>
    </row>
    <row r="20" spans="1:17" ht="16.899999999999999" customHeight="1" thickBot="1" x14ac:dyDescent="0.25">
      <c r="A20" s="257" t="s">
        <v>363</v>
      </c>
      <c r="B20" s="832" t="s">
        <v>375</v>
      </c>
      <c r="C20" s="832"/>
      <c r="D20" s="832"/>
      <c r="E20" s="833"/>
      <c r="F20" s="836">
        <f>'File Copy'!D176</f>
        <v>0</v>
      </c>
      <c r="G20" s="840"/>
      <c r="H20" s="836">
        <f>'File Copy'!E176</f>
        <v>0</v>
      </c>
      <c r="I20" s="840"/>
      <c r="J20" s="836">
        <f>'File Copy'!F176</f>
        <v>0</v>
      </c>
      <c r="K20" s="840"/>
      <c r="L20" s="836">
        <f>'File Copy'!G176</f>
        <v>0</v>
      </c>
      <c r="M20" s="840"/>
      <c r="N20" s="836">
        <f>'File Copy'!H176</f>
        <v>0</v>
      </c>
      <c r="O20" s="840"/>
      <c r="P20" s="836">
        <f>SUM(F20:O20)</f>
        <v>0</v>
      </c>
      <c r="Q20" s="837"/>
    </row>
    <row r="21" spans="1:17" ht="16.899999999999999" customHeight="1" thickBot="1" x14ac:dyDescent="0.25">
      <c r="A21" s="257" t="s">
        <v>364</v>
      </c>
      <c r="B21" s="832" t="s">
        <v>376</v>
      </c>
      <c r="C21" s="832"/>
      <c r="D21" s="832"/>
      <c r="E21" s="833"/>
      <c r="F21" s="836">
        <f>'File Copy'!D139</f>
        <v>0</v>
      </c>
      <c r="G21" s="840"/>
      <c r="H21" s="836">
        <f>'File Copy'!E139</f>
        <v>0</v>
      </c>
      <c r="I21" s="840"/>
      <c r="J21" s="836">
        <f>'File Copy'!F139</f>
        <v>0</v>
      </c>
      <c r="K21" s="840"/>
      <c r="L21" s="836">
        <f>'File Copy'!G139</f>
        <v>0</v>
      </c>
      <c r="M21" s="840"/>
      <c r="N21" s="836">
        <f>'File Copy'!H139</f>
        <v>0</v>
      </c>
      <c r="O21" s="840"/>
      <c r="P21" s="836">
        <f>SUM(F21:O21)</f>
        <v>0</v>
      </c>
      <c r="Q21" s="837"/>
    </row>
    <row r="22" spans="1:17" ht="16.899999999999999" customHeight="1" thickBot="1" x14ac:dyDescent="0.25">
      <c r="A22" s="257" t="s">
        <v>357</v>
      </c>
      <c r="B22" s="832" t="s">
        <v>377</v>
      </c>
      <c r="C22" s="832"/>
      <c r="D22" s="832"/>
      <c r="E22" s="833"/>
      <c r="F22" s="836">
        <f>SUM(F19:G20)</f>
        <v>0</v>
      </c>
      <c r="G22" s="840"/>
      <c r="H22" s="836">
        <f>SUM(H19:I20)</f>
        <v>0</v>
      </c>
      <c r="I22" s="840"/>
      <c r="J22" s="836">
        <f>SUM(J19:K20)</f>
        <v>0</v>
      </c>
      <c r="K22" s="840"/>
      <c r="L22" s="836">
        <f>SUM(L19:M20)</f>
        <v>0</v>
      </c>
      <c r="M22" s="840"/>
      <c r="N22" s="836">
        <f>SUM(N19:O20)</f>
        <v>0</v>
      </c>
      <c r="O22" s="840"/>
      <c r="P22" s="836">
        <f>SUM(F22:O22)</f>
        <v>0</v>
      </c>
      <c r="Q22" s="837"/>
    </row>
    <row r="23" spans="1:17" ht="16.899999999999999" customHeight="1" x14ac:dyDescent="0.2">
      <c r="A23" s="254"/>
      <c r="B23" s="825" t="s">
        <v>347</v>
      </c>
      <c r="C23" s="825"/>
      <c r="D23" s="825"/>
      <c r="E23" s="825"/>
      <c r="F23" s="825"/>
      <c r="G23" s="825"/>
      <c r="H23" s="825"/>
      <c r="I23" s="825"/>
      <c r="J23" s="825"/>
      <c r="K23" s="825"/>
      <c r="L23" s="825"/>
      <c r="M23" s="825"/>
      <c r="N23" s="825"/>
      <c r="O23" s="825"/>
      <c r="P23" s="825"/>
      <c r="Q23" s="826"/>
    </row>
    <row r="24" spans="1:17" ht="16.899999999999999" customHeight="1" x14ac:dyDescent="0.2">
      <c r="A24" s="254"/>
      <c r="B24" s="792" t="s">
        <v>348</v>
      </c>
      <c r="C24" s="792"/>
      <c r="D24" s="792"/>
      <c r="E24" s="792"/>
      <c r="F24" s="792"/>
      <c r="G24" s="792"/>
      <c r="H24" s="792"/>
      <c r="I24" s="792"/>
      <c r="J24" s="792"/>
      <c r="K24" s="792"/>
      <c r="L24" s="792"/>
      <c r="M24" s="792"/>
      <c r="N24" s="792"/>
      <c r="O24" s="792"/>
      <c r="P24" s="792"/>
      <c r="Q24" s="793"/>
    </row>
    <row r="25" spans="1:17" ht="16.899999999999999" customHeight="1" x14ac:dyDescent="0.2">
      <c r="A25" s="253" t="s">
        <v>355</v>
      </c>
      <c r="B25" s="792" t="s">
        <v>368</v>
      </c>
      <c r="C25" s="792"/>
      <c r="D25" s="792"/>
      <c r="E25" s="792"/>
      <c r="F25" s="792"/>
      <c r="G25" s="792"/>
      <c r="H25" s="792"/>
      <c r="I25" s="792"/>
      <c r="J25" s="792"/>
      <c r="K25" s="258" t="s">
        <v>383</v>
      </c>
      <c r="L25" s="250" t="s">
        <v>68</v>
      </c>
      <c r="M25" s="261"/>
      <c r="N25" s="24" t="s">
        <v>381</v>
      </c>
      <c r="O25" s="250"/>
      <c r="P25" s="250"/>
      <c r="Q25" s="249"/>
    </row>
    <row r="26" spans="1:17" ht="16.899999999999999" customHeight="1" x14ac:dyDescent="0.2">
      <c r="A26" s="253" t="s">
        <v>350</v>
      </c>
      <c r="B26" s="792" t="s">
        <v>351</v>
      </c>
      <c r="C26" s="792"/>
      <c r="D26" s="792"/>
      <c r="E26" s="792"/>
      <c r="F26" s="792"/>
      <c r="G26" s="792"/>
      <c r="H26" s="792"/>
      <c r="I26" s="792"/>
      <c r="J26" s="792"/>
      <c r="K26" s="792"/>
      <c r="L26" s="792"/>
      <c r="M26" s="792"/>
      <c r="N26" s="792"/>
      <c r="O26" s="792"/>
      <c r="P26" s="792"/>
      <c r="Q26" s="793"/>
    </row>
    <row r="27" spans="1:17" ht="16.899999999999999" customHeight="1" x14ac:dyDescent="0.2">
      <c r="A27" s="254"/>
      <c r="B27" s="811" t="s">
        <v>352</v>
      </c>
      <c r="C27" s="811"/>
      <c r="D27" s="811"/>
      <c r="E27" s="811"/>
      <c r="F27" s="811"/>
      <c r="G27" s="811"/>
      <c r="H27" s="813">
        <v>41456</v>
      </c>
      <c r="I27" s="814"/>
      <c r="J27" s="252" t="s">
        <v>353</v>
      </c>
      <c r="K27" s="815">
        <v>41820</v>
      </c>
      <c r="L27" s="816"/>
      <c r="M27" s="792" t="s">
        <v>354</v>
      </c>
      <c r="N27" s="792"/>
      <c r="P27" s="250"/>
      <c r="Q27" s="249"/>
    </row>
    <row r="28" spans="1:17" ht="16.899999999999999" customHeight="1" x14ac:dyDescent="0.2">
      <c r="A28" s="253" t="s">
        <v>356</v>
      </c>
      <c r="B28" s="792" t="s">
        <v>365</v>
      </c>
      <c r="C28" s="792"/>
      <c r="D28" s="792"/>
      <c r="E28" s="258"/>
      <c r="F28" s="250" t="s">
        <v>367</v>
      </c>
      <c r="G28" s="258" t="s">
        <v>383</v>
      </c>
      <c r="H28" s="792" t="s">
        <v>380</v>
      </c>
      <c r="I28" s="792"/>
      <c r="J28" s="812" t="s">
        <v>385</v>
      </c>
      <c r="K28" s="812"/>
      <c r="L28" s="812"/>
      <c r="M28" s="846" t="s">
        <v>379</v>
      </c>
      <c r="N28" s="846"/>
      <c r="O28" s="846"/>
      <c r="P28" s="803">
        <v>0.48</v>
      </c>
      <c r="Q28" s="804"/>
    </row>
    <row r="29" spans="1:17" ht="16.899999999999999" customHeight="1" x14ac:dyDescent="0.2">
      <c r="A29" s="254"/>
      <c r="B29" s="792" t="s">
        <v>382</v>
      </c>
      <c r="C29" s="792"/>
      <c r="D29" s="792"/>
      <c r="E29" s="792"/>
      <c r="F29" s="792"/>
      <c r="G29" s="792"/>
      <c r="H29" s="792"/>
      <c r="I29" s="792"/>
      <c r="J29" s="792"/>
      <c r="K29" s="792"/>
      <c r="L29" s="792"/>
      <c r="M29" s="792"/>
      <c r="N29" s="792"/>
      <c r="O29" s="792"/>
      <c r="P29" s="792"/>
      <c r="Q29" s="793"/>
    </row>
    <row r="30" spans="1:17" ht="16.899999999999999" customHeight="1" x14ac:dyDescent="0.2">
      <c r="A30" s="254"/>
      <c r="B30" s="258"/>
      <c r="C30" s="792" t="s">
        <v>366</v>
      </c>
      <c r="D30" s="792"/>
      <c r="E30" s="792"/>
      <c r="F30" s="792"/>
      <c r="G30" s="792"/>
      <c r="H30" s="792"/>
      <c r="I30" s="792"/>
      <c r="J30" s="792"/>
      <c r="K30" s="792"/>
      <c r="L30" s="792"/>
      <c r="M30" s="792"/>
      <c r="N30" s="792"/>
      <c r="O30" s="792"/>
      <c r="P30" s="792"/>
      <c r="Q30" s="793"/>
    </row>
    <row r="31" spans="1:17" ht="16.899999999999999" customHeight="1" x14ac:dyDescent="0.2">
      <c r="A31" s="254"/>
      <c r="B31" s="258"/>
      <c r="C31" s="801" t="s">
        <v>378</v>
      </c>
      <c r="D31" s="801"/>
      <c r="E31" s="801"/>
      <c r="F31" s="801"/>
      <c r="G31" s="801"/>
      <c r="H31" s="801"/>
      <c r="I31" s="801"/>
      <c r="J31" s="801"/>
      <c r="K31" s="801"/>
      <c r="L31" s="801"/>
      <c r="M31" s="801"/>
      <c r="N31" s="801"/>
      <c r="O31" s="801"/>
      <c r="P31" s="801"/>
      <c r="Q31" s="802"/>
    </row>
    <row r="32" spans="1:17" ht="16.899999999999999" customHeight="1" x14ac:dyDescent="0.2">
      <c r="A32" s="254"/>
      <c r="B32" s="259"/>
      <c r="C32" s="801" t="s">
        <v>384</v>
      </c>
      <c r="D32" s="801"/>
      <c r="E32" s="801"/>
      <c r="F32" s="801"/>
      <c r="G32" s="801"/>
      <c r="H32" s="801"/>
      <c r="I32" s="801"/>
      <c r="J32" s="801"/>
      <c r="K32" s="801"/>
      <c r="L32" s="801"/>
      <c r="M32" s="801"/>
      <c r="N32" s="801"/>
      <c r="O32" s="801"/>
      <c r="P32" s="801"/>
      <c r="Q32" s="802"/>
    </row>
    <row r="33" spans="1:17" ht="16.899999999999999" customHeight="1" thickBot="1" x14ac:dyDescent="0.25">
      <c r="A33" s="255"/>
      <c r="B33" s="256"/>
      <c r="C33" s="247"/>
      <c r="D33" s="247"/>
      <c r="E33" s="247"/>
      <c r="F33" s="247"/>
      <c r="G33" s="247"/>
      <c r="H33" s="247"/>
      <c r="I33" s="247"/>
      <c r="J33" s="247"/>
      <c r="K33" s="247"/>
      <c r="L33" s="247"/>
      <c r="M33" s="247"/>
      <c r="N33" s="247"/>
      <c r="O33" s="247"/>
      <c r="P33" s="247"/>
      <c r="Q33" s="248"/>
    </row>
    <row r="34" spans="1:17" ht="16.899999999999999" customHeight="1" thickTop="1" x14ac:dyDescent="0.2"/>
    <row r="35" spans="1:17" ht="16.899999999999999" customHeight="1" x14ac:dyDescent="0.2"/>
    <row r="36" spans="1:17" ht="16.899999999999999" customHeight="1" x14ac:dyDescent="0.2"/>
  </sheetData>
  <sheetProtection algorithmName="SHA-512" hashValue="VeaOHii0RK55fLkpgcxzlhXWanwSaoJiDjQkTBAcfXLDQHzHGZCg+JNwFo58kTcwgnUJmxo4C2IA5yFMDkrZlw==" saltValue="HShB8bFUQpEtgqelCh4KQw==" spinCount="100000" sheet="1" objects="1" scenarios="1"/>
  <mergeCells count="125">
    <mergeCell ref="A3:M3"/>
    <mergeCell ref="B29:Q29"/>
    <mergeCell ref="M28:O28"/>
    <mergeCell ref="H22:I22"/>
    <mergeCell ref="H21:I21"/>
    <mergeCell ref="B16:E16"/>
    <mergeCell ref="B15:E15"/>
    <mergeCell ref="B14:E14"/>
    <mergeCell ref="B13:E13"/>
    <mergeCell ref="F9:G9"/>
    <mergeCell ref="F10:G10"/>
    <mergeCell ref="J9:K9"/>
    <mergeCell ref="H14:I14"/>
    <mergeCell ref="H13:I13"/>
    <mergeCell ref="H12:I12"/>
    <mergeCell ref="H11:I11"/>
    <mergeCell ref="H10:I10"/>
    <mergeCell ref="H9:I9"/>
    <mergeCell ref="H20:I20"/>
    <mergeCell ref="H19:I19"/>
    <mergeCell ref="H18:I18"/>
    <mergeCell ref="H17:I17"/>
    <mergeCell ref="H16:I16"/>
    <mergeCell ref="H15:I15"/>
    <mergeCell ref="F16:G16"/>
    <mergeCell ref="F15:G15"/>
    <mergeCell ref="F14:G14"/>
    <mergeCell ref="F13:G13"/>
    <mergeCell ref="F12:G12"/>
    <mergeCell ref="F11:G11"/>
    <mergeCell ref="F22:G22"/>
    <mergeCell ref="F21:G21"/>
    <mergeCell ref="F20:G20"/>
    <mergeCell ref="F19:G19"/>
    <mergeCell ref="F18:G18"/>
    <mergeCell ref="F17:G17"/>
    <mergeCell ref="J22:K22"/>
    <mergeCell ref="J21:K21"/>
    <mergeCell ref="J20:K20"/>
    <mergeCell ref="L22:M22"/>
    <mergeCell ref="L21:M21"/>
    <mergeCell ref="L20:M20"/>
    <mergeCell ref="J10:K10"/>
    <mergeCell ref="J13:K13"/>
    <mergeCell ref="J12:K12"/>
    <mergeCell ref="J11:K11"/>
    <mergeCell ref="J19:K19"/>
    <mergeCell ref="J18:K18"/>
    <mergeCell ref="J17:K17"/>
    <mergeCell ref="J16:K16"/>
    <mergeCell ref="J15:K15"/>
    <mergeCell ref="J14:K14"/>
    <mergeCell ref="L13:M13"/>
    <mergeCell ref="L12:M12"/>
    <mergeCell ref="L11:M11"/>
    <mergeCell ref="L10:M10"/>
    <mergeCell ref="L9:M9"/>
    <mergeCell ref="N22:O22"/>
    <mergeCell ref="N21:O21"/>
    <mergeCell ref="N20:O20"/>
    <mergeCell ref="N19:O19"/>
    <mergeCell ref="N18:O18"/>
    <mergeCell ref="L19:M19"/>
    <mergeCell ref="L18:M18"/>
    <mergeCell ref="L17:M17"/>
    <mergeCell ref="L16:M16"/>
    <mergeCell ref="L15:M15"/>
    <mergeCell ref="L14:M14"/>
    <mergeCell ref="P18:Q18"/>
    <mergeCell ref="P17:Q17"/>
    <mergeCell ref="P16:Q16"/>
    <mergeCell ref="N17:O17"/>
    <mergeCell ref="N16:O16"/>
    <mergeCell ref="N15:O15"/>
    <mergeCell ref="N14:O14"/>
    <mergeCell ref="N13:O13"/>
    <mergeCell ref="N12:O12"/>
    <mergeCell ref="A7:Q7"/>
    <mergeCell ref="A8:Q8"/>
    <mergeCell ref="P9:Q9"/>
    <mergeCell ref="B11:E11"/>
    <mergeCell ref="B12:E12"/>
    <mergeCell ref="B22:E22"/>
    <mergeCell ref="B21:E21"/>
    <mergeCell ref="B20:E20"/>
    <mergeCell ref="B19:E19"/>
    <mergeCell ref="B18:E18"/>
    <mergeCell ref="B17:E17"/>
    <mergeCell ref="P15:Q15"/>
    <mergeCell ref="P14:Q14"/>
    <mergeCell ref="P13:Q13"/>
    <mergeCell ref="P12:Q12"/>
    <mergeCell ref="P11:Q11"/>
    <mergeCell ref="P10:Q10"/>
    <mergeCell ref="N11:O11"/>
    <mergeCell ref="N10:O10"/>
    <mergeCell ref="N9:O9"/>
    <mergeCell ref="P22:Q22"/>
    <mergeCell ref="P21:Q21"/>
    <mergeCell ref="P20:Q20"/>
    <mergeCell ref="P19:Q19"/>
    <mergeCell ref="I4:Q6"/>
    <mergeCell ref="A4:H4"/>
    <mergeCell ref="A5:H6"/>
    <mergeCell ref="C30:Q30"/>
    <mergeCell ref="C32:Q32"/>
    <mergeCell ref="C31:Q31"/>
    <mergeCell ref="P28:Q28"/>
    <mergeCell ref="M27:N27"/>
    <mergeCell ref="N1:Q1"/>
    <mergeCell ref="N2:Q2"/>
    <mergeCell ref="N3:Q3"/>
    <mergeCell ref="B26:Q26"/>
    <mergeCell ref="B27:G27"/>
    <mergeCell ref="B28:D28"/>
    <mergeCell ref="H28:I28"/>
    <mergeCell ref="J28:L28"/>
    <mergeCell ref="H27:I27"/>
    <mergeCell ref="K27:L27"/>
    <mergeCell ref="A2:M2"/>
    <mergeCell ref="A1:M1"/>
    <mergeCell ref="A9:E10"/>
    <mergeCell ref="B23:Q23"/>
    <mergeCell ref="B24:Q24"/>
    <mergeCell ref="B25:J25"/>
  </mergeCells>
  <pageMargins left="0.5" right="0.5" top="0.5" bottom="0.25" header="0.5" footer="0.25"/>
  <pageSetup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108D-06CF-4892-B4B8-1E1596EF884B}">
  <dimension ref="A1:H93"/>
  <sheetViews>
    <sheetView tabSelected="1" zoomScale="130" zoomScaleNormal="130" workbookViewId="0">
      <selection sqref="A1:H1"/>
    </sheetView>
  </sheetViews>
  <sheetFormatPr defaultColWidth="8.85546875" defaultRowHeight="12.75" x14ac:dyDescent="0.2"/>
  <cols>
    <col min="1" max="1" width="3.28515625" bestFit="1" customWidth="1"/>
    <col min="2" max="2" width="19.140625" bestFit="1" customWidth="1"/>
    <col min="3" max="3" width="19.140625" customWidth="1"/>
    <col min="4" max="4" width="10.140625" bestFit="1" customWidth="1"/>
    <col min="5" max="5" width="15.28515625" bestFit="1" customWidth="1"/>
    <col min="6" max="6" width="19.28515625" customWidth="1"/>
    <col min="7" max="7" width="27.42578125" customWidth="1"/>
    <col min="8" max="8" width="2.85546875" customWidth="1"/>
  </cols>
  <sheetData>
    <row r="1" spans="1:8" ht="15" x14ac:dyDescent="0.25">
      <c r="A1" s="478" t="s">
        <v>677</v>
      </c>
      <c r="B1" s="478"/>
      <c r="C1" s="478"/>
      <c r="D1" s="478"/>
      <c r="E1" s="478"/>
      <c r="F1" s="478"/>
      <c r="G1" s="478"/>
      <c r="H1" s="478"/>
    </row>
    <row r="2" spans="1:8" ht="14.25" x14ac:dyDescent="0.2">
      <c r="A2" s="479" t="s">
        <v>205</v>
      </c>
      <c r="B2" s="479"/>
      <c r="C2" s="479"/>
      <c r="D2" s="479"/>
      <c r="E2" s="479"/>
      <c r="F2" s="479"/>
      <c r="G2" s="479"/>
      <c r="H2" s="479"/>
    </row>
    <row r="3" spans="1:8" ht="14.25" x14ac:dyDescent="0.2">
      <c r="A3" s="479" t="s">
        <v>678</v>
      </c>
      <c r="B3" s="479"/>
      <c r="C3" s="479"/>
      <c r="D3" s="479"/>
      <c r="E3" s="479"/>
      <c r="F3" s="479"/>
      <c r="G3" s="479"/>
      <c r="H3" s="479"/>
    </row>
    <row r="4" spans="1:8" ht="15" x14ac:dyDescent="0.25">
      <c r="A4" s="466" t="s">
        <v>206</v>
      </c>
      <c r="B4" s="466"/>
      <c r="C4" s="466"/>
      <c r="D4" s="466"/>
      <c r="E4" s="466"/>
      <c r="F4" s="466"/>
      <c r="G4" s="466"/>
      <c r="H4" s="466"/>
    </row>
    <row r="5" spans="1:8" ht="14.25" x14ac:dyDescent="0.2">
      <c r="A5" s="480" t="s">
        <v>214</v>
      </c>
      <c r="B5" s="480"/>
      <c r="C5" s="474" t="s">
        <v>211</v>
      </c>
      <c r="D5" s="474"/>
      <c r="E5" s="474"/>
      <c r="F5" s="474"/>
      <c r="G5" s="474"/>
      <c r="H5" s="474"/>
    </row>
    <row r="6" spans="1:8" ht="14.25" x14ac:dyDescent="0.2">
      <c r="A6" s="481" t="s">
        <v>215</v>
      </c>
      <c r="B6" s="481"/>
      <c r="C6" s="474" t="s">
        <v>212</v>
      </c>
      <c r="D6" s="474"/>
      <c r="E6" s="474"/>
      <c r="F6" s="474"/>
      <c r="G6" s="474"/>
      <c r="H6" s="474"/>
    </row>
    <row r="7" spans="1:8" ht="14.25" x14ac:dyDescent="0.2">
      <c r="A7" s="482" t="s">
        <v>216</v>
      </c>
      <c r="B7" s="482"/>
      <c r="C7" s="474" t="s">
        <v>213</v>
      </c>
      <c r="D7" s="474"/>
      <c r="E7" s="474"/>
      <c r="F7" s="474"/>
      <c r="G7" s="474"/>
      <c r="H7" s="474"/>
    </row>
    <row r="8" spans="1:8" x14ac:dyDescent="0.2">
      <c r="A8" s="467"/>
      <c r="B8" s="467"/>
      <c r="C8" s="467"/>
      <c r="D8" s="467"/>
      <c r="E8" s="467"/>
      <c r="F8" s="467"/>
      <c r="G8" s="467"/>
      <c r="H8" s="467"/>
    </row>
    <row r="9" spans="1:8" x14ac:dyDescent="0.2">
      <c r="A9" s="467"/>
      <c r="B9" s="467"/>
      <c r="C9" s="467"/>
      <c r="D9" s="467"/>
      <c r="E9" s="467"/>
      <c r="F9" s="467"/>
      <c r="G9" s="467"/>
      <c r="H9" s="467"/>
    </row>
    <row r="10" spans="1:8" ht="15" x14ac:dyDescent="0.25">
      <c r="A10" s="466" t="s">
        <v>207</v>
      </c>
      <c r="B10" s="466"/>
      <c r="C10" s="466"/>
      <c r="D10" s="466"/>
      <c r="E10" s="466"/>
      <c r="F10" s="466"/>
      <c r="G10" s="466"/>
      <c r="H10" s="466"/>
    </row>
    <row r="11" spans="1:8" ht="45.75" customHeight="1" x14ac:dyDescent="0.2">
      <c r="A11" s="220" t="s">
        <v>220</v>
      </c>
      <c r="B11" s="470" t="s">
        <v>471</v>
      </c>
      <c r="C11" s="470"/>
      <c r="D11" s="470"/>
      <c r="E11" s="470"/>
      <c r="F11" s="470"/>
      <c r="G11" s="470"/>
      <c r="H11" s="470"/>
    </row>
    <row r="12" spans="1:8" ht="60" customHeight="1" x14ac:dyDescent="0.2">
      <c r="A12" s="446" t="s">
        <v>266</v>
      </c>
      <c r="B12" s="470" t="s">
        <v>563</v>
      </c>
      <c r="C12" s="471"/>
      <c r="D12" s="471"/>
      <c r="E12" s="471"/>
      <c r="F12" s="471"/>
      <c r="G12" s="471"/>
      <c r="H12" s="471"/>
    </row>
    <row r="13" spans="1:8" ht="34.5" customHeight="1" x14ac:dyDescent="0.2">
      <c r="A13" s="446" t="s">
        <v>267</v>
      </c>
      <c r="B13" s="470" t="s">
        <v>472</v>
      </c>
      <c r="C13" s="470"/>
      <c r="D13" s="470"/>
      <c r="E13" s="470"/>
      <c r="F13" s="470"/>
      <c r="G13" s="470"/>
      <c r="H13" s="470"/>
    </row>
    <row r="14" spans="1:8" ht="76.5" customHeight="1" x14ac:dyDescent="0.2">
      <c r="A14" s="446" t="s">
        <v>268</v>
      </c>
      <c r="B14" s="470" t="s">
        <v>643</v>
      </c>
      <c r="C14" s="472"/>
      <c r="D14" s="472"/>
      <c r="E14" s="472"/>
      <c r="F14" s="472"/>
      <c r="G14" s="472"/>
      <c r="H14" s="472"/>
    </row>
    <row r="15" spans="1:8" ht="48" customHeight="1" x14ac:dyDescent="0.2">
      <c r="A15" s="446" t="s">
        <v>358</v>
      </c>
      <c r="B15" s="470" t="s">
        <v>473</v>
      </c>
      <c r="C15" s="470"/>
      <c r="D15" s="470"/>
      <c r="E15" s="470"/>
      <c r="F15" s="470"/>
      <c r="G15" s="470"/>
      <c r="H15" s="470"/>
    </row>
    <row r="16" spans="1:8" ht="34.5" customHeight="1" x14ac:dyDescent="0.2">
      <c r="A16" s="446" t="s">
        <v>359</v>
      </c>
      <c r="B16" s="470" t="s">
        <v>233</v>
      </c>
      <c r="C16" s="470"/>
      <c r="D16" s="470"/>
      <c r="E16" s="470"/>
      <c r="F16" s="470"/>
      <c r="G16" s="470"/>
      <c r="H16" s="470"/>
    </row>
    <row r="17" spans="1:8" ht="14.25" x14ac:dyDescent="0.2">
      <c r="A17" s="271"/>
      <c r="B17" s="477"/>
      <c r="C17" s="477"/>
      <c r="D17" s="477"/>
      <c r="E17" s="477"/>
      <c r="F17" s="477"/>
      <c r="G17" s="477"/>
      <c r="H17" s="477"/>
    </row>
    <row r="18" spans="1:8" ht="15" x14ac:dyDescent="0.25">
      <c r="A18" s="466" t="s">
        <v>208</v>
      </c>
      <c r="B18" s="466"/>
      <c r="C18" s="466"/>
      <c r="D18" s="466"/>
      <c r="E18" s="466"/>
      <c r="F18" s="466"/>
      <c r="G18" s="466"/>
      <c r="H18" s="466"/>
    </row>
    <row r="19" spans="1:8" ht="36" customHeight="1" x14ac:dyDescent="0.2">
      <c r="A19" s="220" t="s">
        <v>220</v>
      </c>
      <c r="B19" s="470" t="s">
        <v>217</v>
      </c>
      <c r="C19" s="470"/>
      <c r="D19" s="470"/>
      <c r="E19" s="470"/>
      <c r="F19" s="470"/>
      <c r="G19" s="470"/>
      <c r="H19" s="470"/>
    </row>
    <row r="20" spans="1:8" ht="30.75" customHeight="1" x14ac:dyDescent="0.2">
      <c r="A20" s="220" t="s">
        <v>221</v>
      </c>
      <c r="B20" s="470" t="s">
        <v>391</v>
      </c>
      <c r="C20" s="470"/>
      <c r="D20" s="470"/>
      <c r="E20" s="470"/>
      <c r="F20" s="470"/>
      <c r="G20" s="470"/>
      <c r="H20" s="470"/>
    </row>
    <row r="21" spans="1:8" ht="14.25" x14ac:dyDescent="0.2">
      <c r="A21" s="272"/>
      <c r="B21" s="477"/>
      <c r="C21" s="477"/>
      <c r="D21" s="477"/>
      <c r="E21" s="477"/>
      <c r="F21" s="477"/>
      <c r="G21" s="477"/>
      <c r="H21" s="477"/>
    </row>
    <row r="22" spans="1:8" ht="15" x14ac:dyDescent="0.25">
      <c r="A22" s="466" t="s">
        <v>209</v>
      </c>
      <c r="B22" s="466"/>
      <c r="C22" s="466"/>
      <c r="D22" s="466"/>
      <c r="E22" s="466"/>
      <c r="F22" s="466"/>
      <c r="G22" s="466"/>
      <c r="H22" s="466"/>
    </row>
    <row r="23" spans="1:8" ht="14.25" x14ac:dyDescent="0.2">
      <c r="A23" s="220" t="s">
        <v>220</v>
      </c>
      <c r="B23" s="470" t="s">
        <v>218</v>
      </c>
      <c r="C23" s="470"/>
      <c r="D23" s="470"/>
      <c r="E23" s="470"/>
      <c r="F23" s="470"/>
      <c r="G23" s="470"/>
      <c r="H23" s="470"/>
    </row>
    <row r="24" spans="1:8" ht="30" customHeight="1" x14ac:dyDescent="0.2">
      <c r="A24" s="220" t="s">
        <v>221</v>
      </c>
      <c r="B24" s="470" t="s">
        <v>474</v>
      </c>
      <c r="C24" s="470"/>
      <c r="D24" s="470"/>
      <c r="E24" s="470"/>
      <c r="F24" s="470"/>
      <c r="G24" s="470"/>
      <c r="H24" s="470"/>
    </row>
    <row r="25" spans="1:8" ht="58.5" customHeight="1" x14ac:dyDescent="0.2">
      <c r="A25" s="220" t="s">
        <v>222</v>
      </c>
      <c r="B25" s="470" t="s">
        <v>475</v>
      </c>
      <c r="C25" s="471"/>
      <c r="D25" s="471"/>
      <c r="E25" s="471"/>
      <c r="F25" s="471"/>
      <c r="G25" s="471"/>
      <c r="H25" s="471"/>
    </row>
    <row r="26" spans="1:8" ht="48.75" customHeight="1" x14ac:dyDescent="0.2">
      <c r="A26" s="220" t="s">
        <v>392</v>
      </c>
      <c r="B26" s="470" t="s">
        <v>476</v>
      </c>
      <c r="C26" s="470"/>
      <c r="D26" s="470"/>
      <c r="E26" s="470"/>
      <c r="F26" s="470"/>
      <c r="G26" s="470"/>
      <c r="H26" s="470"/>
    </row>
    <row r="27" spans="1:8" ht="48.75" customHeight="1" x14ac:dyDescent="0.2">
      <c r="A27" s="220" t="s">
        <v>478</v>
      </c>
      <c r="B27" s="470" t="s">
        <v>477</v>
      </c>
      <c r="C27" s="470"/>
      <c r="D27" s="470"/>
      <c r="E27" s="470"/>
      <c r="F27" s="470"/>
      <c r="G27" s="470"/>
      <c r="H27" s="470"/>
    </row>
    <row r="28" spans="1:8" ht="14.25" x14ac:dyDescent="0.2">
      <c r="A28" s="271"/>
      <c r="B28" s="477"/>
      <c r="C28" s="477"/>
      <c r="D28" s="477"/>
      <c r="E28" s="477"/>
      <c r="F28" s="477"/>
      <c r="G28" s="477"/>
      <c r="H28" s="477"/>
    </row>
    <row r="29" spans="1:8" ht="15" x14ac:dyDescent="0.25">
      <c r="A29" s="466" t="s">
        <v>210</v>
      </c>
      <c r="B29" s="466"/>
      <c r="C29" s="466"/>
      <c r="D29" s="466"/>
      <c r="E29" s="466"/>
      <c r="F29" s="466"/>
      <c r="G29" s="466"/>
      <c r="H29" s="466"/>
    </row>
    <row r="30" spans="1:8" ht="14.25" x14ac:dyDescent="0.2">
      <c r="A30" s="220" t="s">
        <v>220</v>
      </c>
      <c r="B30" s="470" t="s">
        <v>219</v>
      </c>
      <c r="C30" s="470"/>
      <c r="D30" s="470"/>
      <c r="E30" s="470"/>
      <c r="F30" s="470"/>
      <c r="G30" s="470"/>
      <c r="H30" s="470"/>
    </row>
    <row r="31" spans="1:8" ht="14.25" x14ac:dyDescent="0.2">
      <c r="A31" s="220" t="s">
        <v>221</v>
      </c>
      <c r="B31" s="470" t="s">
        <v>223</v>
      </c>
      <c r="C31" s="470"/>
      <c r="D31" s="470"/>
      <c r="E31" s="470"/>
      <c r="F31" s="470"/>
      <c r="G31" s="470"/>
      <c r="H31" s="470"/>
    </row>
    <row r="32" spans="1:8" ht="14.25" x14ac:dyDescent="0.2">
      <c r="A32" s="220" t="s">
        <v>222</v>
      </c>
      <c r="B32" s="470" t="s">
        <v>479</v>
      </c>
      <c r="C32" s="470"/>
      <c r="D32" s="470"/>
      <c r="E32" s="470"/>
      <c r="F32" s="470"/>
      <c r="G32" s="470"/>
      <c r="H32" s="470"/>
    </row>
    <row r="33" spans="1:8" x14ac:dyDescent="0.2">
      <c r="A33" s="467"/>
      <c r="B33" s="467"/>
      <c r="C33" s="467"/>
      <c r="D33" s="467"/>
      <c r="E33" s="467"/>
      <c r="F33" s="467"/>
      <c r="G33" s="467"/>
      <c r="H33" s="467"/>
    </row>
    <row r="34" spans="1:8" ht="15" x14ac:dyDescent="0.25">
      <c r="A34" s="466" t="s">
        <v>480</v>
      </c>
      <c r="B34" s="466"/>
      <c r="C34" s="466"/>
      <c r="D34" s="466"/>
      <c r="E34" s="466"/>
      <c r="F34" s="466"/>
      <c r="G34" s="466"/>
      <c r="H34" s="466"/>
    </row>
    <row r="35" spans="1:8" ht="14.25" x14ac:dyDescent="0.2">
      <c r="A35" s="220" t="s">
        <v>481</v>
      </c>
      <c r="B35" s="470" t="s">
        <v>482</v>
      </c>
      <c r="C35" s="470"/>
      <c r="D35" s="470"/>
      <c r="E35" s="470"/>
      <c r="F35" s="470"/>
      <c r="G35" s="470"/>
      <c r="H35" s="470"/>
    </row>
    <row r="36" spans="1:8" ht="14.25" x14ac:dyDescent="0.2">
      <c r="A36" s="270"/>
      <c r="B36" s="470" t="s">
        <v>483</v>
      </c>
      <c r="C36" s="470"/>
      <c r="D36" s="470"/>
      <c r="E36" s="470"/>
      <c r="F36" s="470"/>
      <c r="G36" s="470"/>
      <c r="H36" s="470"/>
    </row>
    <row r="37" spans="1:8" x14ac:dyDescent="0.2">
      <c r="A37" s="467"/>
      <c r="B37" s="467"/>
      <c r="C37" s="467"/>
      <c r="D37" s="467"/>
      <c r="E37" s="467"/>
      <c r="F37" s="467"/>
      <c r="G37" s="467"/>
      <c r="H37" s="467"/>
    </row>
    <row r="38" spans="1:8" ht="15.75" thickBot="1" x14ac:dyDescent="0.3">
      <c r="B38" s="468" t="s">
        <v>562</v>
      </c>
      <c r="C38" s="469"/>
      <c r="D38" s="270"/>
      <c r="E38" s="270"/>
      <c r="F38" s="270"/>
      <c r="G38" s="270"/>
      <c r="H38" s="270"/>
    </row>
    <row r="39" spans="1:8" ht="26.25" thickBot="1" x14ac:dyDescent="0.25">
      <c r="A39" s="270"/>
      <c r="B39" s="445" t="s">
        <v>558</v>
      </c>
      <c r="C39" s="444" t="s">
        <v>557</v>
      </c>
      <c r="D39" s="444" t="s">
        <v>556</v>
      </c>
      <c r="E39" s="444" t="s">
        <v>555</v>
      </c>
      <c r="F39" s="444" t="s">
        <v>600</v>
      </c>
      <c r="G39" s="444" t="s">
        <v>588</v>
      </c>
      <c r="H39" s="270"/>
    </row>
    <row r="40" spans="1:8" ht="39.75" customHeight="1" thickBot="1" x14ac:dyDescent="0.25">
      <c r="A40" s="270"/>
      <c r="B40" s="443" t="s">
        <v>606</v>
      </c>
      <c r="C40" s="442" t="s">
        <v>553</v>
      </c>
      <c r="D40" s="442" t="s">
        <v>547</v>
      </c>
      <c r="E40" s="442" t="s">
        <v>560</v>
      </c>
      <c r="F40" s="442" t="s">
        <v>571</v>
      </c>
      <c r="G40" s="442" t="s">
        <v>590</v>
      </c>
      <c r="H40" s="270"/>
    </row>
    <row r="41" spans="1:8" ht="39.75" customHeight="1" thickBot="1" x14ac:dyDescent="0.25">
      <c r="A41" s="270"/>
      <c r="B41" s="443" t="s">
        <v>570</v>
      </c>
      <c r="C41" s="442" t="s">
        <v>553</v>
      </c>
      <c r="D41" s="442" t="s">
        <v>547</v>
      </c>
      <c r="E41" s="442" t="s">
        <v>560</v>
      </c>
      <c r="F41" s="442" t="s">
        <v>564</v>
      </c>
      <c r="G41" s="442" t="s">
        <v>589</v>
      </c>
      <c r="H41" s="270"/>
    </row>
    <row r="42" spans="1:8" ht="55.5" customHeight="1" thickBot="1" x14ac:dyDescent="0.25">
      <c r="B42" s="443" t="s">
        <v>607</v>
      </c>
      <c r="C42" s="442" t="s">
        <v>553</v>
      </c>
      <c r="D42" s="442" t="s">
        <v>547</v>
      </c>
      <c r="E42" s="442" t="s">
        <v>560</v>
      </c>
      <c r="F42" s="442" t="s">
        <v>534</v>
      </c>
      <c r="G42" s="442" t="s">
        <v>601</v>
      </c>
      <c r="H42" s="270"/>
    </row>
    <row r="43" spans="1:8" ht="39.75" customHeight="1" thickBot="1" x14ac:dyDescent="0.25">
      <c r="A43" s="270"/>
      <c r="B43" s="443" t="s">
        <v>608</v>
      </c>
      <c r="C43" s="442" t="s">
        <v>561</v>
      </c>
      <c r="D43" s="442" t="s">
        <v>547</v>
      </c>
      <c r="E43" s="442" t="s">
        <v>560</v>
      </c>
      <c r="F43" s="442" t="s">
        <v>535</v>
      </c>
      <c r="G43" s="442" t="s">
        <v>591</v>
      </c>
      <c r="H43" s="270"/>
    </row>
    <row r="44" spans="1:8" ht="39.75" customHeight="1" thickBot="1" x14ac:dyDescent="0.25">
      <c r="B44" s="443" t="s">
        <v>587</v>
      </c>
      <c r="C44" s="442" t="s">
        <v>553</v>
      </c>
      <c r="D44" s="442" t="s">
        <v>547</v>
      </c>
      <c r="E44" s="442" t="s">
        <v>560</v>
      </c>
      <c r="F44" s="442" t="s">
        <v>533</v>
      </c>
      <c r="G44" s="442" t="s">
        <v>602</v>
      </c>
      <c r="H44" s="270"/>
    </row>
    <row r="45" spans="1:8" ht="67.5" customHeight="1" thickBot="1" x14ac:dyDescent="0.25">
      <c r="A45" s="270"/>
      <c r="B45" s="443" t="s">
        <v>603</v>
      </c>
      <c r="C45" s="442" t="s">
        <v>553</v>
      </c>
      <c r="D45" s="442" t="s">
        <v>551</v>
      </c>
      <c r="E45" s="442" t="s">
        <v>560</v>
      </c>
      <c r="F45" s="442" t="s">
        <v>400</v>
      </c>
      <c r="G45" s="442" t="s">
        <v>605</v>
      </c>
      <c r="H45" s="270"/>
    </row>
    <row r="46" spans="1:8" x14ac:dyDescent="0.2">
      <c r="A46" s="270"/>
      <c r="B46" s="270"/>
      <c r="C46" s="270"/>
      <c r="D46" s="270"/>
      <c r="E46" s="270"/>
      <c r="F46" s="270"/>
      <c r="G46" s="270"/>
      <c r="H46" s="270"/>
    </row>
    <row r="47" spans="1:8" ht="15.75" thickBot="1" x14ac:dyDescent="0.3">
      <c r="A47" s="270"/>
      <c r="B47" s="468" t="s">
        <v>559</v>
      </c>
      <c r="C47" s="469"/>
      <c r="D47" s="270"/>
      <c r="E47" s="270"/>
      <c r="F47" s="270"/>
      <c r="G47" s="270"/>
      <c r="H47" s="270"/>
    </row>
    <row r="48" spans="1:8" ht="26.25" thickBot="1" x14ac:dyDescent="0.25">
      <c r="A48" s="270"/>
      <c r="B48" s="445" t="s">
        <v>558</v>
      </c>
      <c r="C48" s="444" t="s">
        <v>557</v>
      </c>
      <c r="D48" s="444" t="s">
        <v>556</v>
      </c>
      <c r="E48" s="444" t="s">
        <v>555</v>
      </c>
      <c r="F48" s="444" t="s">
        <v>600</v>
      </c>
      <c r="G48" s="444" t="s">
        <v>588</v>
      </c>
      <c r="H48" s="270"/>
    </row>
    <row r="49" spans="1:8" ht="28.5" customHeight="1" thickBot="1" x14ac:dyDescent="0.25">
      <c r="A49" s="270"/>
      <c r="B49" s="443" t="s">
        <v>569</v>
      </c>
      <c r="C49" s="442" t="s">
        <v>553</v>
      </c>
      <c r="D49" s="442" t="s">
        <v>547</v>
      </c>
      <c r="E49" s="442" t="s">
        <v>546</v>
      </c>
      <c r="F49" s="442" t="s">
        <v>405</v>
      </c>
      <c r="G49" s="442" t="s">
        <v>594</v>
      </c>
      <c r="H49" s="270"/>
    </row>
    <row r="50" spans="1:8" ht="28.5" customHeight="1" thickBot="1" x14ac:dyDescent="0.25">
      <c r="A50" s="270"/>
      <c r="B50" s="443" t="s">
        <v>529</v>
      </c>
      <c r="C50" s="442" t="s">
        <v>553</v>
      </c>
      <c r="D50" s="442" t="s">
        <v>547</v>
      </c>
      <c r="E50" s="442" t="s">
        <v>546</v>
      </c>
      <c r="F50" s="442" t="s">
        <v>530</v>
      </c>
      <c r="G50" s="442" t="s">
        <v>602</v>
      </c>
      <c r="H50" s="270"/>
    </row>
    <row r="51" spans="1:8" ht="28.5" customHeight="1" thickBot="1" x14ac:dyDescent="0.25">
      <c r="A51" s="270"/>
      <c r="B51" s="443" t="s">
        <v>545</v>
      </c>
      <c r="C51" s="442" t="s">
        <v>550</v>
      </c>
      <c r="D51" s="442" t="s">
        <v>547</v>
      </c>
      <c r="E51" s="442" t="s">
        <v>546</v>
      </c>
      <c r="F51" s="442" t="s">
        <v>531</v>
      </c>
      <c r="G51" s="442" t="s">
        <v>604</v>
      </c>
      <c r="H51" s="270"/>
    </row>
    <row r="52" spans="1:8" ht="39" thickBot="1" x14ac:dyDescent="0.25">
      <c r="A52" s="270"/>
      <c r="B52" s="443" t="s">
        <v>584</v>
      </c>
      <c r="C52" s="442" t="s">
        <v>586</v>
      </c>
      <c r="D52" s="442" t="s">
        <v>551</v>
      </c>
      <c r="E52" s="442" t="s">
        <v>546</v>
      </c>
      <c r="F52" s="442" t="s">
        <v>401</v>
      </c>
      <c r="G52" s="442" t="s">
        <v>596</v>
      </c>
      <c r="H52" s="270"/>
    </row>
    <row r="53" spans="1:8" ht="28.5" customHeight="1" thickBot="1" x14ac:dyDescent="0.25">
      <c r="A53" s="270"/>
      <c r="B53" s="443" t="s">
        <v>568</v>
      </c>
      <c r="C53" s="442" t="s">
        <v>554</v>
      </c>
      <c r="D53" s="442" t="s">
        <v>551</v>
      </c>
      <c r="E53" s="442" t="s">
        <v>546</v>
      </c>
      <c r="F53" s="442" t="s">
        <v>133</v>
      </c>
      <c r="G53" s="442" t="s">
        <v>592</v>
      </c>
      <c r="H53" s="270"/>
    </row>
    <row r="54" spans="1:8" ht="28.5" customHeight="1" thickBot="1" x14ac:dyDescent="0.25">
      <c r="A54" s="270"/>
      <c r="B54" s="443" t="s">
        <v>583</v>
      </c>
      <c r="C54" s="442" t="s">
        <v>550</v>
      </c>
      <c r="D54" s="442" t="s">
        <v>551</v>
      </c>
      <c r="E54" s="442" t="s">
        <v>546</v>
      </c>
      <c r="F54" s="442" t="s">
        <v>404</v>
      </c>
      <c r="G54" s="442" t="s">
        <v>595</v>
      </c>
      <c r="H54" s="270"/>
    </row>
    <row r="55" spans="1:8" ht="29.25" customHeight="1" thickBot="1" x14ac:dyDescent="0.25">
      <c r="A55" s="270"/>
      <c r="B55" s="443" t="s">
        <v>537</v>
      </c>
      <c r="C55" s="442" t="s">
        <v>553</v>
      </c>
      <c r="D55" s="442" t="s">
        <v>551</v>
      </c>
      <c r="E55" s="442" t="s">
        <v>546</v>
      </c>
      <c r="F55" s="442" t="s">
        <v>134</v>
      </c>
      <c r="G55" s="442" t="s">
        <v>593</v>
      </c>
      <c r="H55" s="270"/>
    </row>
    <row r="56" spans="1:8" ht="28.5" customHeight="1" thickBot="1" x14ac:dyDescent="0.25">
      <c r="A56" s="270"/>
      <c r="B56" s="443" t="s">
        <v>552</v>
      </c>
      <c r="C56" s="442" t="s">
        <v>550</v>
      </c>
      <c r="D56" s="442" t="s">
        <v>551</v>
      </c>
      <c r="E56" s="442" t="s">
        <v>546</v>
      </c>
      <c r="F56" s="442" t="s">
        <v>402</v>
      </c>
      <c r="G56" s="442" t="s">
        <v>597</v>
      </c>
      <c r="H56" s="270"/>
    </row>
    <row r="57" spans="1:8" ht="56.25" customHeight="1" thickBot="1" x14ac:dyDescent="0.25">
      <c r="A57" s="270"/>
      <c r="B57" s="443" t="s">
        <v>407</v>
      </c>
      <c r="C57" s="442" t="s">
        <v>550</v>
      </c>
      <c r="D57" s="442" t="s">
        <v>549</v>
      </c>
      <c r="E57" s="442" t="s">
        <v>546</v>
      </c>
      <c r="F57" s="442" t="s">
        <v>406</v>
      </c>
      <c r="G57" s="442" t="s">
        <v>598</v>
      </c>
      <c r="H57" s="270"/>
    </row>
    <row r="58" spans="1:8" ht="28.5" customHeight="1" thickBot="1" x14ac:dyDescent="0.25">
      <c r="A58" s="270"/>
      <c r="B58" s="443" t="s">
        <v>408</v>
      </c>
      <c r="C58" s="442" t="s">
        <v>548</v>
      </c>
      <c r="D58" s="442" t="s">
        <v>547</v>
      </c>
      <c r="E58" s="442" t="s">
        <v>546</v>
      </c>
      <c r="F58" s="442" t="s">
        <v>403</v>
      </c>
      <c r="G58" s="442" t="s">
        <v>599</v>
      </c>
      <c r="H58" s="270"/>
    </row>
    <row r="59" spans="1:8" x14ac:dyDescent="0.2">
      <c r="A59" s="270"/>
      <c r="B59" s="270"/>
      <c r="C59" s="270"/>
      <c r="D59" s="270"/>
      <c r="E59" s="270"/>
      <c r="F59" s="270"/>
      <c r="G59" s="270"/>
      <c r="H59" s="270"/>
    </row>
    <row r="60" spans="1:8" ht="19.5" customHeight="1" thickBot="1" x14ac:dyDescent="0.3">
      <c r="A60" s="270"/>
      <c r="B60" s="473" t="s">
        <v>642</v>
      </c>
      <c r="C60" s="474"/>
      <c r="D60" s="270"/>
      <c r="E60" s="270"/>
      <c r="F60" s="270"/>
      <c r="G60" s="270"/>
      <c r="H60" s="270"/>
    </row>
    <row r="61" spans="1:8" ht="27" customHeight="1" thickBot="1" x14ac:dyDescent="0.25">
      <c r="A61" s="270"/>
      <c r="B61" s="445" t="s">
        <v>609</v>
      </c>
      <c r="C61" s="456" t="s">
        <v>610</v>
      </c>
      <c r="D61" s="456" t="s">
        <v>611</v>
      </c>
      <c r="E61" s="459" t="s">
        <v>612</v>
      </c>
      <c r="F61" s="444"/>
      <c r="G61" s="455"/>
      <c r="H61" s="270"/>
    </row>
    <row r="62" spans="1:8" x14ac:dyDescent="0.2">
      <c r="B62" s="452" t="s">
        <v>560</v>
      </c>
      <c r="C62" s="453" t="s">
        <v>123</v>
      </c>
      <c r="D62" s="453">
        <v>500011</v>
      </c>
      <c r="E62" s="475" t="s">
        <v>613</v>
      </c>
      <c r="F62" s="476"/>
    </row>
    <row r="63" spans="1:8" x14ac:dyDescent="0.2">
      <c r="B63" s="450"/>
      <c r="C63" s="448" t="s">
        <v>564</v>
      </c>
      <c r="D63" s="448">
        <v>511005</v>
      </c>
      <c r="E63" s="463" t="s">
        <v>614</v>
      </c>
      <c r="F63" s="464"/>
    </row>
    <row r="64" spans="1:8" x14ac:dyDescent="0.2">
      <c r="B64" s="450"/>
      <c r="C64" s="448" t="s">
        <v>122</v>
      </c>
      <c r="D64" s="448">
        <v>530011</v>
      </c>
      <c r="E64" s="463" t="s">
        <v>615</v>
      </c>
      <c r="F64" s="464"/>
    </row>
    <row r="65" spans="2:6" x14ac:dyDescent="0.2">
      <c r="B65" s="450"/>
      <c r="C65" s="448" t="s">
        <v>400</v>
      </c>
      <c r="D65" s="448">
        <v>512002</v>
      </c>
      <c r="E65" s="463" t="s">
        <v>616</v>
      </c>
      <c r="F65" s="464"/>
    </row>
    <row r="66" spans="2:6" x14ac:dyDescent="0.2">
      <c r="B66" s="450"/>
      <c r="C66" s="448" t="s">
        <v>534</v>
      </c>
      <c r="D66" s="448">
        <v>500013</v>
      </c>
      <c r="E66" s="448" t="s">
        <v>617</v>
      </c>
      <c r="F66" s="454"/>
    </row>
    <row r="67" spans="2:6" x14ac:dyDescent="0.2">
      <c r="B67" s="450"/>
      <c r="C67" s="448" t="s">
        <v>535</v>
      </c>
      <c r="D67" s="448">
        <v>520010</v>
      </c>
      <c r="E67" s="448" t="s">
        <v>618</v>
      </c>
      <c r="F67" s="454"/>
    </row>
    <row r="68" spans="2:6" ht="13.5" thickBot="1" x14ac:dyDescent="0.25">
      <c r="B68" s="451"/>
      <c r="C68" s="449" t="s">
        <v>533</v>
      </c>
      <c r="D68" s="449">
        <v>513005</v>
      </c>
      <c r="E68" s="449" t="s">
        <v>528</v>
      </c>
      <c r="F68" s="457"/>
    </row>
    <row r="69" spans="2:6" x14ac:dyDescent="0.2">
      <c r="B69" s="452" t="s">
        <v>546</v>
      </c>
      <c r="C69" s="453" t="s">
        <v>133</v>
      </c>
      <c r="D69" s="453">
        <v>503259</v>
      </c>
      <c r="E69" s="453" t="s">
        <v>578</v>
      </c>
      <c r="F69" s="458"/>
    </row>
    <row r="70" spans="2:6" x14ac:dyDescent="0.2">
      <c r="B70" s="450"/>
      <c r="C70" s="448"/>
      <c r="D70" s="448">
        <v>543259</v>
      </c>
      <c r="E70" s="448" t="s">
        <v>619</v>
      </c>
      <c r="F70" s="454"/>
    </row>
    <row r="71" spans="2:6" x14ac:dyDescent="0.2">
      <c r="B71" s="450"/>
      <c r="C71" s="448"/>
      <c r="D71" s="448">
        <v>504256</v>
      </c>
      <c r="E71" s="448" t="s">
        <v>620</v>
      </c>
      <c r="F71" s="454"/>
    </row>
    <row r="72" spans="2:6" x14ac:dyDescent="0.2">
      <c r="B72" s="450"/>
      <c r="C72" s="448"/>
      <c r="D72" s="448">
        <v>536259</v>
      </c>
      <c r="E72" s="448" t="s">
        <v>621</v>
      </c>
      <c r="F72" s="454"/>
    </row>
    <row r="73" spans="2:6" x14ac:dyDescent="0.2">
      <c r="B73" s="450"/>
      <c r="C73" s="448"/>
      <c r="D73" s="448">
        <v>536278</v>
      </c>
      <c r="E73" s="448" t="s">
        <v>622</v>
      </c>
      <c r="F73" s="454"/>
    </row>
    <row r="74" spans="2:6" x14ac:dyDescent="0.2">
      <c r="B74" s="450"/>
      <c r="C74" s="448" t="s">
        <v>134</v>
      </c>
      <c r="D74" s="448" t="s">
        <v>549</v>
      </c>
      <c r="E74" s="463" t="s">
        <v>549</v>
      </c>
      <c r="F74" s="464"/>
    </row>
    <row r="75" spans="2:6" x14ac:dyDescent="0.2">
      <c r="B75" s="450"/>
      <c r="C75" s="448" t="s">
        <v>403</v>
      </c>
      <c r="D75" s="448">
        <v>500214</v>
      </c>
      <c r="E75" s="448" t="s">
        <v>623</v>
      </c>
      <c r="F75" s="447"/>
    </row>
    <row r="76" spans="2:6" x14ac:dyDescent="0.2">
      <c r="B76" s="450"/>
      <c r="C76" s="448"/>
      <c r="D76" s="448">
        <v>520514</v>
      </c>
      <c r="E76" s="448" t="s">
        <v>624</v>
      </c>
      <c r="F76" s="454"/>
    </row>
    <row r="77" spans="2:6" x14ac:dyDescent="0.2">
      <c r="B77" s="450"/>
      <c r="C77" s="448" t="s">
        <v>406</v>
      </c>
      <c r="D77" s="448">
        <v>544080</v>
      </c>
      <c r="E77" s="463" t="s">
        <v>625</v>
      </c>
      <c r="F77" s="464"/>
    </row>
    <row r="78" spans="2:6" x14ac:dyDescent="0.2">
      <c r="B78" s="450"/>
      <c r="C78" s="448"/>
      <c r="D78" s="448">
        <v>549979</v>
      </c>
      <c r="E78" s="448" t="s">
        <v>626</v>
      </c>
      <c r="F78" s="454"/>
    </row>
    <row r="79" spans="2:6" x14ac:dyDescent="0.2">
      <c r="B79" s="450"/>
      <c r="C79" s="448" t="s">
        <v>401</v>
      </c>
      <c r="D79" s="448">
        <v>513021</v>
      </c>
      <c r="E79" s="465" t="s">
        <v>627</v>
      </c>
      <c r="F79" s="464"/>
    </row>
    <row r="80" spans="2:6" x14ac:dyDescent="0.2">
      <c r="B80" s="450"/>
      <c r="C80" s="448"/>
      <c r="D80" s="448">
        <v>514072</v>
      </c>
      <c r="E80" s="463" t="s">
        <v>628</v>
      </c>
      <c r="F80" s="464"/>
    </row>
    <row r="81" spans="2:6" x14ac:dyDescent="0.2">
      <c r="B81" s="450"/>
      <c r="C81" s="448"/>
      <c r="D81" s="448">
        <v>515073</v>
      </c>
      <c r="E81" s="448" t="s">
        <v>629</v>
      </c>
      <c r="F81" s="454"/>
    </row>
    <row r="82" spans="2:6" x14ac:dyDescent="0.2">
      <c r="B82" s="450"/>
      <c r="C82" s="448" t="s">
        <v>405</v>
      </c>
      <c r="D82" s="448">
        <v>513001</v>
      </c>
      <c r="E82" s="448" t="s">
        <v>630</v>
      </c>
      <c r="F82" s="454"/>
    </row>
    <row r="83" spans="2:6" x14ac:dyDescent="0.2">
      <c r="B83" s="450"/>
      <c r="C83" s="448" t="s">
        <v>402</v>
      </c>
      <c r="D83" s="448">
        <v>535073</v>
      </c>
      <c r="E83" s="448" t="s">
        <v>631</v>
      </c>
      <c r="F83" s="454"/>
    </row>
    <row r="84" spans="2:6" x14ac:dyDescent="0.2">
      <c r="B84" s="450"/>
      <c r="C84" s="448"/>
      <c r="D84" s="448">
        <v>543021</v>
      </c>
      <c r="E84" s="448" t="s">
        <v>632</v>
      </c>
      <c r="F84" s="454"/>
    </row>
    <row r="85" spans="2:6" x14ac:dyDescent="0.2">
      <c r="B85" s="450"/>
      <c r="C85" s="448"/>
      <c r="D85" s="448">
        <v>544073</v>
      </c>
      <c r="E85" s="448" t="s">
        <v>633</v>
      </c>
      <c r="F85" s="454"/>
    </row>
    <row r="86" spans="2:6" x14ac:dyDescent="0.2">
      <c r="B86" s="450"/>
      <c r="C86" s="448" t="s">
        <v>404</v>
      </c>
      <c r="D86" s="448">
        <v>549976</v>
      </c>
      <c r="E86" s="448" t="s">
        <v>634</v>
      </c>
      <c r="F86" s="454"/>
    </row>
    <row r="87" spans="2:6" x14ac:dyDescent="0.2">
      <c r="B87" s="450"/>
      <c r="C87" s="448"/>
      <c r="D87" s="448">
        <v>549978</v>
      </c>
      <c r="E87" s="448" t="s">
        <v>635</v>
      </c>
      <c r="F87" s="454"/>
    </row>
    <row r="88" spans="2:6" x14ac:dyDescent="0.2">
      <c r="B88" s="450"/>
      <c r="C88" s="448"/>
      <c r="D88" s="448">
        <v>549986</v>
      </c>
      <c r="E88" s="448" t="s">
        <v>636</v>
      </c>
      <c r="F88" s="454"/>
    </row>
    <row r="89" spans="2:6" x14ac:dyDescent="0.2">
      <c r="B89" s="450"/>
      <c r="C89" s="448"/>
      <c r="D89" s="448">
        <v>549987</v>
      </c>
      <c r="E89" s="448" t="s">
        <v>637</v>
      </c>
      <c r="F89" s="454"/>
    </row>
    <row r="90" spans="2:6" x14ac:dyDescent="0.2">
      <c r="B90" s="450"/>
      <c r="C90" s="448"/>
      <c r="D90" s="448">
        <v>549988</v>
      </c>
      <c r="E90" s="448" t="s">
        <v>638</v>
      </c>
      <c r="F90" s="454"/>
    </row>
    <row r="91" spans="2:6" x14ac:dyDescent="0.2">
      <c r="B91" s="450"/>
      <c r="C91" s="448"/>
      <c r="D91" s="448">
        <v>549989</v>
      </c>
      <c r="E91" s="448" t="s">
        <v>639</v>
      </c>
      <c r="F91" s="454"/>
    </row>
    <row r="92" spans="2:6" x14ac:dyDescent="0.2">
      <c r="B92" s="450"/>
      <c r="C92" s="448" t="s">
        <v>530</v>
      </c>
      <c r="D92" s="448">
        <v>513002</v>
      </c>
      <c r="E92" s="448" t="s">
        <v>640</v>
      </c>
      <c r="F92" s="454"/>
    </row>
    <row r="93" spans="2:6" ht="13.5" thickBot="1" x14ac:dyDescent="0.25">
      <c r="B93" s="451"/>
      <c r="C93" s="449" t="s">
        <v>531</v>
      </c>
      <c r="D93" s="449">
        <v>544074</v>
      </c>
      <c r="E93" s="449" t="s">
        <v>641</v>
      </c>
      <c r="F93" s="457"/>
    </row>
  </sheetData>
  <sheetProtection algorithmName="SHA-512" hashValue="I7oNlJjZzmbGtc5Oxyerjp4FSu5nts1zrX/Bxgvjuj8Frkbk6R9ZrMu8oQiY6LJTGnED4EpKmZfwIFLOrGtq7A==" saltValue="4SNwqFeQBZkJDxIkQi2RWg==" spinCount="100000" sheet="1" objects="1" scenarios="1"/>
  <mergeCells count="51">
    <mergeCell ref="B11:H11"/>
    <mergeCell ref="B26:H26"/>
    <mergeCell ref="A6:B6"/>
    <mergeCell ref="C6:H6"/>
    <mergeCell ref="A7:B7"/>
    <mergeCell ref="C7:H7"/>
    <mergeCell ref="A10:H10"/>
    <mergeCell ref="A9:H9"/>
    <mergeCell ref="A8:H8"/>
    <mergeCell ref="B17:H17"/>
    <mergeCell ref="A18:H18"/>
    <mergeCell ref="B19:H19"/>
    <mergeCell ref="B24:H24"/>
    <mergeCell ref="B13:H13"/>
    <mergeCell ref="B16:H16"/>
    <mergeCell ref="B15:H15"/>
    <mergeCell ref="A1:H1"/>
    <mergeCell ref="A2:H2"/>
    <mergeCell ref="A3:H3"/>
    <mergeCell ref="A4:H4"/>
    <mergeCell ref="A5:B5"/>
    <mergeCell ref="C5:H5"/>
    <mergeCell ref="B12:H12"/>
    <mergeCell ref="B14:H14"/>
    <mergeCell ref="B60:C60"/>
    <mergeCell ref="E62:F62"/>
    <mergeCell ref="E63:F63"/>
    <mergeCell ref="B32:H32"/>
    <mergeCell ref="B28:H28"/>
    <mergeCell ref="B25:H25"/>
    <mergeCell ref="B30:H30"/>
    <mergeCell ref="B20:H20"/>
    <mergeCell ref="B21:H21"/>
    <mergeCell ref="A22:H22"/>
    <mergeCell ref="B23:H23"/>
    <mergeCell ref="B36:H36"/>
    <mergeCell ref="A34:H34"/>
    <mergeCell ref="B27:H27"/>
    <mergeCell ref="A29:H29"/>
    <mergeCell ref="A37:H37"/>
    <mergeCell ref="B38:C38"/>
    <mergeCell ref="B47:C47"/>
    <mergeCell ref="E65:F65"/>
    <mergeCell ref="A33:H33"/>
    <mergeCell ref="B35:H35"/>
    <mergeCell ref="B31:H31"/>
    <mergeCell ref="E74:F74"/>
    <mergeCell ref="E77:F77"/>
    <mergeCell ref="E79:F79"/>
    <mergeCell ref="E80:F80"/>
    <mergeCell ref="E64:F64"/>
  </mergeCells>
  <pageMargins left="0.25" right="0.25" top="0.5" bottom="0.5" header="0.5" footer="0.5"/>
  <pageSetup scale="89" orientation="portrait"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workbookViewId="0">
      <selection sqref="A1:K1"/>
    </sheetView>
  </sheetViews>
  <sheetFormatPr defaultColWidth="8.85546875" defaultRowHeight="12.75" x14ac:dyDescent="0.2"/>
  <sheetData>
    <row r="1" spans="1:11" ht="14.25" customHeight="1" x14ac:dyDescent="0.25">
      <c r="A1" s="478" t="s">
        <v>523</v>
      </c>
      <c r="B1" s="478"/>
      <c r="C1" s="478"/>
      <c r="D1" s="478"/>
      <c r="E1" s="478"/>
      <c r="F1" s="478"/>
      <c r="G1" s="478"/>
      <c r="H1" s="478"/>
      <c r="I1" s="478"/>
      <c r="J1" s="478"/>
      <c r="K1" s="478"/>
    </row>
    <row r="2" spans="1:11" ht="14.25" customHeight="1" x14ac:dyDescent="0.2">
      <c r="A2" s="479" t="s">
        <v>205</v>
      </c>
      <c r="B2" s="479"/>
      <c r="C2" s="479"/>
      <c r="D2" s="479"/>
      <c r="E2" s="479"/>
      <c r="F2" s="479"/>
      <c r="G2" s="479"/>
      <c r="H2" s="479"/>
      <c r="I2" s="479"/>
      <c r="J2" s="479"/>
      <c r="K2" s="479"/>
    </row>
    <row r="3" spans="1:11" ht="14.25" customHeight="1" x14ac:dyDescent="0.2">
      <c r="A3" s="479" t="s">
        <v>541</v>
      </c>
      <c r="B3" s="479"/>
      <c r="C3" s="479"/>
      <c r="D3" s="479"/>
      <c r="E3" s="479"/>
      <c r="F3" s="479"/>
      <c r="G3" s="479"/>
      <c r="H3" s="479"/>
      <c r="I3" s="479"/>
      <c r="J3" s="479"/>
      <c r="K3" s="479"/>
    </row>
    <row r="4" spans="1:11" ht="14.25" customHeight="1" x14ac:dyDescent="0.25">
      <c r="A4" s="466" t="s">
        <v>206</v>
      </c>
      <c r="B4" s="466"/>
      <c r="C4" s="466"/>
      <c r="D4" s="466"/>
      <c r="E4" s="466"/>
      <c r="F4" s="466"/>
      <c r="G4" s="466"/>
      <c r="H4" s="466"/>
      <c r="I4" s="466"/>
      <c r="J4" s="466"/>
      <c r="K4" s="466"/>
    </row>
    <row r="5" spans="1:11" ht="14.25" customHeight="1" x14ac:dyDescent="0.2">
      <c r="A5" s="480" t="s">
        <v>214</v>
      </c>
      <c r="B5" s="480"/>
      <c r="C5" s="474" t="s">
        <v>211</v>
      </c>
      <c r="D5" s="474"/>
      <c r="E5" s="474"/>
      <c r="F5" s="474"/>
      <c r="G5" s="474"/>
      <c r="H5" s="474"/>
      <c r="I5" s="474"/>
      <c r="J5" s="474"/>
      <c r="K5" s="474"/>
    </row>
    <row r="6" spans="1:11" ht="14.25" customHeight="1" x14ac:dyDescent="0.2">
      <c r="A6" s="481" t="s">
        <v>215</v>
      </c>
      <c r="B6" s="481"/>
      <c r="C6" s="474" t="s">
        <v>212</v>
      </c>
      <c r="D6" s="474"/>
      <c r="E6" s="474"/>
      <c r="F6" s="474"/>
      <c r="G6" s="474"/>
      <c r="H6" s="474"/>
      <c r="I6" s="474"/>
      <c r="J6" s="474"/>
      <c r="K6" s="474"/>
    </row>
    <row r="7" spans="1:11" ht="14.25" customHeight="1" x14ac:dyDescent="0.2">
      <c r="A7" s="482" t="s">
        <v>216</v>
      </c>
      <c r="B7" s="482"/>
      <c r="C7" s="474" t="s">
        <v>213</v>
      </c>
      <c r="D7" s="474"/>
      <c r="E7" s="474"/>
      <c r="F7" s="474"/>
      <c r="G7" s="474"/>
      <c r="H7" s="474"/>
      <c r="I7" s="474"/>
      <c r="J7" s="474"/>
      <c r="K7" s="474"/>
    </row>
    <row r="8" spans="1:11" ht="14.25" customHeight="1" x14ac:dyDescent="0.2">
      <c r="A8" s="270"/>
      <c r="B8" s="270"/>
      <c r="C8" s="270"/>
      <c r="D8" s="270"/>
      <c r="E8" s="270"/>
      <c r="F8" s="270"/>
      <c r="G8" s="270"/>
      <c r="H8" s="270"/>
      <c r="I8" s="270"/>
      <c r="J8" s="270"/>
      <c r="K8" s="270"/>
    </row>
    <row r="9" spans="1:11" ht="14.25" customHeight="1" x14ac:dyDescent="0.2">
      <c r="A9" s="270"/>
      <c r="B9" s="270"/>
      <c r="C9" s="270"/>
      <c r="D9" s="270"/>
      <c r="E9" s="270"/>
      <c r="F9" s="270"/>
      <c r="G9" s="270"/>
      <c r="H9" s="270"/>
      <c r="I9" s="270"/>
      <c r="J9" s="270"/>
      <c r="K9" s="270"/>
    </row>
    <row r="10" spans="1:11" ht="14.25" customHeight="1" x14ac:dyDescent="0.25">
      <c r="A10" s="466" t="s">
        <v>207</v>
      </c>
      <c r="B10" s="466"/>
      <c r="C10" s="466"/>
      <c r="D10" s="466"/>
      <c r="E10" s="466"/>
      <c r="F10" s="466"/>
      <c r="G10" s="466"/>
      <c r="H10" s="466"/>
      <c r="I10" s="466"/>
      <c r="J10" s="466"/>
      <c r="K10" s="466"/>
    </row>
    <row r="11" spans="1:11" ht="42.75" customHeight="1" x14ac:dyDescent="0.2">
      <c r="A11" s="220" t="s">
        <v>220</v>
      </c>
      <c r="B11" s="470" t="s">
        <v>471</v>
      </c>
      <c r="C11" s="470"/>
      <c r="D11" s="470"/>
      <c r="E11" s="470"/>
      <c r="F11" s="470"/>
      <c r="G11" s="470"/>
      <c r="H11" s="470"/>
      <c r="I11" s="470"/>
      <c r="J11" s="470"/>
      <c r="K11" s="470"/>
    </row>
    <row r="12" spans="1:11" ht="42.75" customHeight="1" x14ac:dyDescent="0.2">
      <c r="A12" s="220" t="s">
        <v>221</v>
      </c>
      <c r="B12" s="470" t="s">
        <v>472</v>
      </c>
      <c r="C12" s="470"/>
      <c r="D12" s="470"/>
      <c r="E12" s="470"/>
      <c r="F12" s="470"/>
      <c r="G12" s="470"/>
      <c r="H12" s="470"/>
      <c r="I12" s="470"/>
      <c r="J12" s="470"/>
      <c r="K12" s="470"/>
    </row>
    <row r="13" spans="1:11" ht="57" customHeight="1" x14ac:dyDescent="0.2">
      <c r="A13" s="220" t="s">
        <v>222</v>
      </c>
      <c r="B13" s="470" t="s">
        <v>473</v>
      </c>
      <c r="C13" s="470"/>
      <c r="D13" s="470"/>
      <c r="E13" s="470"/>
      <c r="F13" s="470"/>
      <c r="G13" s="470"/>
      <c r="H13" s="470"/>
      <c r="I13" s="470"/>
      <c r="J13" s="470"/>
      <c r="K13" s="470"/>
    </row>
    <row r="14" spans="1:11" ht="28.5" customHeight="1" x14ac:dyDescent="0.2">
      <c r="A14" s="220" t="s">
        <v>392</v>
      </c>
      <c r="B14" s="470" t="s">
        <v>233</v>
      </c>
      <c r="C14" s="470"/>
      <c r="D14" s="470"/>
      <c r="E14" s="470"/>
      <c r="F14" s="470"/>
      <c r="G14" s="470"/>
      <c r="H14" s="470"/>
      <c r="I14" s="470"/>
      <c r="J14" s="470"/>
      <c r="K14" s="470"/>
    </row>
    <row r="15" spans="1:11" ht="14.25" x14ac:dyDescent="0.2">
      <c r="A15" s="271"/>
      <c r="B15" s="477"/>
      <c r="C15" s="477"/>
      <c r="D15" s="477"/>
      <c r="E15" s="477"/>
      <c r="F15" s="477"/>
      <c r="G15" s="477"/>
      <c r="H15" s="477"/>
      <c r="I15" s="477"/>
      <c r="J15" s="477"/>
      <c r="K15" s="477"/>
    </row>
    <row r="16" spans="1:11" ht="14.25" customHeight="1" x14ac:dyDescent="0.25">
      <c r="A16" s="466" t="s">
        <v>208</v>
      </c>
      <c r="B16" s="466"/>
      <c r="C16" s="466"/>
      <c r="D16" s="466"/>
      <c r="E16" s="466"/>
      <c r="F16" s="466"/>
      <c r="G16" s="466"/>
      <c r="H16" s="466"/>
      <c r="I16" s="466"/>
      <c r="J16" s="466"/>
      <c r="K16" s="466"/>
    </row>
    <row r="17" spans="1:11" ht="28.5" customHeight="1" x14ac:dyDescent="0.2">
      <c r="A17" s="220" t="s">
        <v>220</v>
      </c>
      <c r="B17" s="470" t="s">
        <v>217</v>
      </c>
      <c r="C17" s="470"/>
      <c r="D17" s="470"/>
      <c r="E17" s="470"/>
      <c r="F17" s="470"/>
      <c r="G17" s="470"/>
      <c r="H17" s="470"/>
      <c r="I17" s="470"/>
      <c r="J17" s="470"/>
      <c r="K17" s="470"/>
    </row>
    <row r="18" spans="1:11" ht="42.75" customHeight="1" x14ac:dyDescent="0.2">
      <c r="A18" s="220" t="s">
        <v>221</v>
      </c>
      <c r="B18" s="470" t="s">
        <v>391</v>
      </c>
      <c r="C18" s="470"/>
      <c r="D18" s="470"/>
      <c r="E18" s="470"/>
      <c r="F18" s="470"/>
      <c r="G18" s="470"/>
      <c r="H18" s="470"/>
      <c r="I18" s="470"/>
      <c r="J18" s="470"/>
      <c r="K18" s="470"/>
    </row>
    <row r="19" spans="1:11" ht="14.25" x14ac:dyDescent="0.2">
      <c r="A19" s="272"/>
      <c r="B19" s="477"/>
      <c r="C19" s="477"/>
      <c r="D19" s="477"/>
      <c r="E19" s="477"/>
      <c r="F19" s="477"/>
      <c r="G19" s="477"/>
      <c r="H19" s="477"/>
      <c r="I19" s="477"/>
      <c r="J19" s="477"/>
      <c r="K19" s="477"/>
    </row>
    <row r="20" spans="1:11" ht="14.25" customHeight="1" x14ac:dyDescent="0.25">
      <c r="A20" s="466" t="s">
        <v>209</v>
      </c>
      <c r="B20" s="466"/>
      <c r="C20" s="466"/>
      <c r="D20" s="466"/>
      <c r="E20" s="466"/>
      <c r="F20" s="466"/>
      <c r="G20" s="466"/>
      <c r="H20" s="466"/>
      <c r="I20" s="466"/>
      <c r="J20" s="466"/>
      <c r="K20" s="466"/>
    </row>
    <row r="21" spans="1:11" ht="14.25" x14ac:dyDescent="0.2">
      <c r="A21" s="220" t="s">
        <v>220</v>
      </c>
      <c r="B21" s="470" t="s">
        <v>218</v>
      </c>
      <c r="C21" s="470"/>
      <c r="D21" s="470"/>
      <c r="E21" s="470"/>
      <c r="F21" s="470"/>
      <c r="G21" s="470"/>
      <c r="H21" s="470"/>
      <c r="I21" s="470"/>
      <c r="J21" s="470"/>
      <c r="K21" s="470"/>
    </row>
    <row r="22" spans="1:11" ht="28.5" customHeight="1" x14ac:dyDescent="0.2">
      <c r="A22" s="220" t="s">
        <v>221</v>
      </c>
      <c r="B22" s="470" t="s">
        <v>474</v>
      </c>
      <c r="C22" s="470"/>
      <c r="D22" s="470"/>
      <c r="E22" s="470"/>
      <c r="F22" s="470"/>
      <c r="G22" s="470"/>
      <c r="H22" s="470"/>
      <c r="I22" s="470"/>
      <c r="J22" s="470"/>
      <c r="K22" s="470"/>
    </row>
    <row r="23" spans="1:11" ht="71.25" customHeight="1" x14ac:dyDescent="0.2">
      <c r="A23" s="220" t="s">
        <v>222</v>
      </c>
      <c r="B23" s="470" t="s">
        <v>475</v>
      </c>
      <c r="C23" s="471"/>
      <c r="D23" s="471"/>
      <c r="E23" s="471"/>
      <c r="F23" s="471"/>
      <c r="G23" s="471"/>
      <c r="H23" s="471"/>
      <c r="I23" s="471"/>
      <c r="J23" s="471"/>
      <c r="K23" s="471"/>
    </row>
    <row r="24" spans="1:11" ht="42.75" customHeight="1" x14ac:dyDescent="0.2">
      <c r="A24" s="220" t="s">
        <v>392</v>
      </c>
      <c r="B24" s="470" t="s">
        <v>476</v>
      </c>
      <c r="C24" s="470"/>
      <c r="D24" s="470"/>
      <c r="E24" s="470"/>
      <c r="F24" s="470"/>
      <c r="G24" s="470"/>
      <c r="H24" s="470"/>
      <c r="I24" s="470"/>
      <c r="J24" s="470"/>
      <c r="K24" s="470"/>
    </row>
    <row r="25" spans="1:11" ht="57" customHeight="1" x14ac:dyDescent="0.2">
      <c r="A25" s="220" t="s">
        <v>478</v>
      </c>
      <c r="B25" s="470" t="s">
        <v>477</v>
      </c>
      <c r="C25" s="470"/>
      <c r="D25" s="470"/>
      <c r="E25" s="470"/>
      <c r="F25" s="470"/>
      <c r="G25" s="470"/>
      <c r="H25" s="470"/>
      <c r="I25" s="470"/>
      <c r="J25" s="470"/>
      <c r="K25" s="470"/>
    </row>
    <row r="26" spans="1:11" ht="14.25" x14ac:dyDescent="0.2">
      <c r="A26" s="271"/>
      <c r="B26" s="477"/>
      <c r="C26" s="477"/>
      <c r="D26" s="477"/>
      <c r="E26" s="477"/>
      <c r="F26" s="477"/>
      <c r="G26" s="477"/>
      <c r="H26" s="477"/>
      <c r="I26" s="477"/>
      <c r="J26" s="477"/>
      <c r="K26" s="477"/>
    </row>
    <row r="27" spans="1:11" ht="14.25" customHeight="1" x14ac:dyDescent="0.25">
      <c r="A27" s="466" t="s">
        <v>210</v>
      </c>
      <c r="B27" s="466"/>
      <c r="C27" s="466"/>
      <c r="D27" s="466"/>
      <c r="E27" s="466"/>
      <c r="F27" s="466"/>
      <c r="G27" s="466"/>
      <c r="H27" s="466"/>
      <c r="I27" s="466"/>
      <c r="J27" s="466"/>
      <c r="K27" s="466"/>
    </row>
    <row r="28" spans="1:11" ht="42.75" customHeight="1" x14ac:dyDescent="0.2">
      <c r="A28" s="220" t="s">
        <v>220</v>
      </c>
      <c r="B28" s="470" t="s">
        <v>219</v>
      </c>
      <c r="C28" s="470"/>
      <c r="D28" s="470"/>
      <c r="E28" s="470"/>
      <c r="F28" s="470"/>
      <c r="G28" s="470"/>
      <c r="H28" s="470"/>
      <c r="I28" s="470"/>
      <c r="J28" s="470"/>
      <c r="K28" s="470"/>
    </row>
    <row r="29" spans="1:11" ht="28.5" customHeight="1" x14ac:dyDescent="0.2">
      <c r="A29" s="220" t="s">
        <v>221</v>
      </c>
      <c r="B29" s="470" t="s">
        <v>223</v>
      </c>
      <c r="C29" s="470"/>
      <c r="D29" s="470"/>
      <c r="E29" s="470"/>
      <c r="F29" s="470"/>
      <c r="G29" s="470"/>
      <c r="H29" s="470"/>
      <c r="I29" s="470"/>
      <c r="J29" s="470"/>
      <c r="K29" s="470"/>
    </row>
    <row r="30" spans="1:11" ht="28.5" customHeight="1" x14ac:dyDescent="0.2">
      <c r="A30" s="220" t="s">
        <v>222</v>
      </c>
      <c r="B30" s="470" t="s">
        <v>479</v>
      </c>
      <c r="C30" s="470"/>
      <c r="D30" s="470"/>
      <c r="E30" s="470"/>
      <c r="F30" s="470"/>
      <c r="G30" s="470"/>
      <c r="H30" s="470"/>
      <c r="I30" s="470"/>
      <c r="J30" s="470"/>
      <c r="K30" s="470"/>
    </row>
    <row r="31" spans="1:11" ht="14.25" customHeight="1" x14ac:dyDescent="0.2">
      <c r="A31" s="270"/>
      <c r="B31" s="270"/>
      <c r="C31" s="270"/>
      <c r="D31" s="270"/>
      <c r="E31" s="270"/>
      <c r="F31" s="270"/>
      <c r="G31" s="270"/>
      <c r="H31" s="270"/>
      <c r="I31" s="270"/>
      <c r="J31" s="270"/>
      <c r="K31" s="270"/>
    </row>
    <row r="32" spans="1:11" ht="14.25" customHeight="1" x14ac:dyDescent="0.25">
      <c r="A32" s="466" t="s">
        <v>480</v>
      </c>
      <c r="B32" s="466"/>
      <c r="C32" s="466"/>
      <c r="D32" s="466"/>
      <c r="E32" s="466"/>
      <c r="F32" s="466"/>
      <c r="G32" s="466"/>
      <c r="H32" s="466"/>
      <c r="I32" s="466"/>
      <c r="J32" s="466"/>
      <c r="K32" s="466"/>
    </row>
    <row r="33" spans="1:11" ht="42.75" customHeight="1" x14ac:dyDescent="0.2">
      <c r="A33" s="220" t="s">
        <v>481</v>
      </c>
      <c r="B33" s="470" t="s">
        <v>482</v>
      </c>
      <c r="C33" s="470"/>
      <c r="D33" s="470"/>
      <c r="E33" s="470"/>
      <c r="F33" s="470"/>
      <c r="G33" s="470"/>
      <c r="H33" s="470"/>
      <c r="I33" s="470"/>
      <c r="J33" s="470"/>
      <c r="K33" s="470"/>
    </row>
    <row r="34" spans="1:11" ht="42.75" customHeight="1" x14ac:dyDescent="0.2">
      <c r="A34" s="270"/>
      <c r="B34" s="470" t="s">
        <v>483</v>
      </c>
      <c r="C34" s="470"/>
      <c r="D34" s="470"/>
      <c r="E34" s="470"/>
      <c r="F34" s="470"/>
      <c r="G34" s="470"/>
      <c r="H34" s="470"/>
      <c r="I34" s="470"/>
      <c r="J34" s="470"/>
      <c r="K34" s="470"/>
    </row>
    <row r="35" spans="1:11" ht="14.25" customHeight="1" x14ac:dyDescent="0.2">
      <c r="A35" s="270"/>
      <c r="B35" s="270"/>
      <c r="C35" s="270"/>
      <c r="D35" s="270"/>
      <c r="E35" s="270"/>
      <c r="F35" s="270"/>
      <c r="G35" s="270"/>
      <c r="H35" s="270"/>
      <c r="I35" s="270"/>
      <c r="J35" s="270"/>
      <c r="K35" s="270"/>
    </row>
    <row r="36" spans="1:11" ht="14.25" customHeight="1" x14ac:dyDescent="0.2">
      <c r="A36" s="270"/>
      <c r="B36" s="270"/>
      <c r="C36" s="270"/>
      <c r="D36" s="270"/>
      <c r="E36" s="270"/>
      <c r="F36" s="270"/>
      <c r="G36" s="270"/>
      <c r="H36" s="270"/>
      <c r="I36" s="270"/>
      <c r="J36" s="270"/>
      <c r="K36" s="270"/>
    </row>
    <row r="37" spans="1:11" ht="14.25" customHeight="1" x14ac:dyDescent="0.2">
      <c r="A37" s="270"/>
      <c r="B37" s="270"/>
      <c r="C37" s="270"/>
      <c r="D37" s="270"/>
      <c r="E37" s="270"/>
      <c r="F37" s="270"/>
      <c r="G37" s="270"/>
      <c r="H37" s="270"/>
      <c r="I37" s="270"/>
      <c r="J37" s="270"/>
      <c r="K37" s="270"/>
    </row>
    <row r="38" spans="1:11" ht="14.25" customHeight="1" x14ac:dyDescent="0.2">
      <c r="A38" s="270"/>
      <c r="B38" s="270"/>
      <c r="C38" s="270"/>
      <c r="D38" s="270"/>
      <c r="E38" s="270"/>
      <c r="F38" s="270"/>
      <c r="G38" s="270"/>
      <c r="H38" s="270"/>
      <c r="I38" s="270"/>
      <c r="J38" s="270"/>
      <c r="K38" s="270"/>
    </row>
    <row r="39" spans="1:11" ht="14.25" customHeight="1" x14ac:dyDescent="0.2">
      <c r="A39" s="270"/>
      <c r="B39" s="270"/>
      <c r="C39" s="270"/>
      <c r="D39" s="270"/>
      <c r="E39" s="270"/>
      <c r="F39" s="270"/>
      <c r="G39" s="270"/>
      <c r="H39" s="270"/>
      <c r="I39" s="270"/>
      <c r="J39" s="270"/>
      <c r="K39" s="270"/>
    </row>
    <row r="40" spans="1:11" ht="14.25" customHeight="1" x14ac:dyDescent="0.2">
      <c r="A40" s="270"/>
      <c r="B40" s="270"/>
      <c r="C40" s="270"/>
      <c r="D40" s="270"/>
      <c r="E40" s="270"/>
      <c r="F40" s="270"/>
      <c r="G40" s="270"/>
      <c r="H40" s="270"/>
      <c r="I40" s="270"/>
      <c r="J40" s="270"/>
      <c r="K40" s="270"/>
    </row>
    <row r="41" spans="1:11" ht="14.25" customHeight="1" x14ac:dyDescent="0.2">
      <c r="A41" s="270"/>
      <c r="B41" s="270"/>
      <c r="C41" s="270"/>
      <c r="D41" s="270"/>
      <c r="E41" s="270"/>
      <c r="F41" s="270"/>
      <c r="G41" s="270"/>
      <c r="H41" s="270"/>
      <c r="I41" s="270"/>
      <c r="J41" s="270"/>
      <c r="K41" s="270"/>
    </row>
    <row r="42" spans="1:11" ht="14.25" customHeight="1" x14ac:dyDescent="0.2">
      <c r="A42" s="270"/>
      <c r="B42" s="270"/>
      <c r="C42" s="270"/>
      <c r="D42" s="270"/>
      <c r="E42" s="270"/>
      <c r="F42" s="270"/>
      <c r="G42" s="270"/>
      <c r="H42" s="270"/>
      <c r="I42" s="270"/>
      <c r="J42" s="270"/>
      <c r="K42" s="270"/>
    </row>
    <row r="43" spans="1:11" ht="14.25" customHeight="1" x14ac:dyDescent="0.2">
      <c r="A43" s="270"/>
      <c r="B43" s="270"/>
      <c r="C43" s="270"/>
      <c r="D43" s="270"/>
      <c r="E43" s="270"/>
      <c r="F43" s="270"/>
      <c r="G43" s="270"/>
      <c r="H43" s="270"/>
      <c r="I43" s="270"/>
      <c r="J43" s="270"/>
      <c r="K43" s="270"/>
    </row>
    <row r="44" spans="1:11" ht="14.25" customHeight="1" x14ac:dyDescent="0.2">
      <c r="A44" s="270"/>
      <c r="B44" s="270"/>
      <c r="C44" s="270"/>
      <c r="D44" s="270"/>
      <c r="E44" s="270"/>
      <c r="F44" s="270"/>
      <c r="G44" s="270"/>
      <c r="H44" s="270"/>
      <c r="I44" s="270"/>
      <c r="J44" s="270"/>
      <c r="K44" s="270"/>
    </row>
    <row r="45" spans="1:11" ht="14.25" customHeight="1" x14ac:dyDescent="0.2">
      <c r="A45" s="270"/>
      <c r="B45" s="270"/>
      <c r="C45" s="270"/>
      <c r="D45" s="270"/>
      <c r="E45" s="270"/>
      <c r="F45" s="270"/>
      <c r="G45" s="270"/>
      <c r="H45" s="270"/>
      <c r="I45" s="270"/>
      <c r="J45" s="270"/>
      <c r="K45" s="270"/>
    </row>
    <row r="46" spans="1:11" ht="14.25" customHeight="1" x14ac:dyDescent="0.2">
      <c r="A46" s="270"/>
      <c r="B46" s="270"/>
      <c r="C46" s="270"/>
      <c r="D46" s="270"/>
      <c r="E46" s="270"/>
      <c r="F46" s="270"/>
      <c r="G46" s="270"/>
      <c r="H46" s="270"/>
      <c r="I46" s="270"/>
      <c r="J46" s="270"/>
      <c r="K46" s="270"/>
    </row>
    <row r="47" spans="1:11" ht="14.25" customHeight="1" x14ac:dyDescent="0.2">
      <c r="A47" s="270"/>
      <c r="B47" s="270"/>
      <c r="C47" s="270"/>
      <c r="D47" s="270"/>
      <c r="E47" s="270"/>
      <c r="F47" s="270"/>
      <c r="G47" s="270"/>
      <c r="H47" s="270"/>
      <c r="I47" s="270"/>
      <c r="J47" s="270"/>
      <c r="K47" s="270"/>
    </row>
    <row r="48" spans="1:11" ht="14.25" customHeight="1" x14ac:dyDescent="0.2">
      <c r="A48" s="270"/>
      <c r="B48" s="270"/>
      <c r="C48" s="270"/>
      <c r="D48" s="270"/>
      <c r="E48" s="270"/>
      <c r="F48" s="270"/>
      <c r="G48" s="270"/>
      <c r="H48" s="270"/>
      <c r="I48" s="270"/>
      <c r="J48" s="270"/>
      <c r="K48" s="270"/>
    </row>
    <row r="49" spans="1:11" ht="14.25" customHeight="1" x14ac:dyDescent="0.2">
      <c r="A49" s="270"/>
      <c r="B49" s="270"/>
      <c r="C49" s="270"/>
      <c r="D49" s="270"/>
      <c r="E49" s="270"/>
      <c r="F49" s="270"/>
      <c r="G49" s="270"/>
      <c r="H49" s="270"/>
      <c r="I49" s="270"/>
      <c r="J49" s="270"/>
      <c r="K49" s="270"/>
    </row>
    <row r="50" spans="1:11" ht="14.25" customHeight="1" x14ac:dyDescent="0.2">
      <c r="A50" s="270"/>
      <c r="B50" s="270"/>
      <c r="C50" s="270"/>
      <c r="D50" s="270"/>
      <c r="E50" s="270"/>
      <c r="F50" s="270"/>
      <c r="G50" s="270"/>
      <c r="H50" s="270"/>
      <c r="I50" s="270"/>
      <c r="J50" s="270"/>
      <c r="K50" s="270"/>
    </row>
    <row r="51" spans="1:11" ht="14.25" customHeight="1" x14ac:dyDescent="0.2">
      <c r="A51" s="270"/>
      <c r="B51" s="270"/>
      <c r="C51" s="270"/>
      <c r="D51" s="270"/>
      <c r="E51" s="270"/>
      <c r="F51" s="270"/>
      <c r="G51" s="270"/>
      <c r="H51" s="270"/>
      <c r="I51" s="270"/>
      <c r="J51" s="270"/>
      <c r="K51" s="270"/>
    </row>
    <row r="52" spans="1:11" ht="14.25" customHeight="1" x14ac:dyDescent="0.2">
      <c r="A52" s="270"/>
      <c r="B52" s="270"/>
      <c r="C52" s="270"/>
      <c r="D52" s="270"/>
      <c r="E52" s="270"/>
      <c r="F52" s="270"/>
      <c r="G52" s="270"/>
      <c r="H52" s="270"/>
      <c r="I52" s="270"/>
      <c r="J52" s="270"/>
      <c r="K52" s="270"/>
    </row>
    <row r="53" spans="1:11" ht="14.25" customHeight="1" x14ac:dyDescent="0.2">
      <c r="A53" s="270"/>
      <c r="B53" s="270"/>
      <c r="C53" s="270"/>
      <c r="D53" s="270"/>
      <c r="E53" s="270"/>
      <c r="F53" s="270"/>
      <c r="G53" s="270"/>
      <c r="H53" s="270"/>
      <c r="I53" s="270"/>
      <c r="J53" s="270"/>
      <c r="K53" s="270"/>
    </row>
    <row r="54" spans="1:11" ht="14.25" customHeight="1" x14ac:dyDescent="0.2">
      <c r="A54" s="270"/>
      <c r="B54" s="270"/>
      <c r="C54" s="270"/>
      <c r="D54" s="270"/>
      <c r="E54" s="270"/>
      <c r="F54" s="270"/>
      <c r="G54" s="270"/>
      <c r="H54" s="270"/>
      <c r="I54" s="270"/>
      <c r="J54" s="270"/>
      <c r="K54" s="270"/>
    </row>
    <row r="55" spans="1:11" ht="14.25" customHeight="1" x14ac:dyDescent="0.2">
      <c r="A55" s="270"/>
      <c r="B55" s="270"/>
      <c r="C55" s="270"/>
      <c r="D55" s="270"/>
      <c r="E55" s="270"/>
      <c r="F55" s="270"/>
      <c r="G55" s="270"/>
      <c r="H55" s="270"/>
      <c r="I55" s="270"/>
      <c r="J55" s="270"/>
      <c r="K55" s="270"/>
    </row>
    <row r="56" spans="1:11" ht="14.25" customHeight="1" x14ac:dyDescent="0.2">
      <c r="A56" s="270"/>
      <c r="B56" s="270"/>
      <c r="C56" s="270"/>
      <c r="D56" s="270"/>
      <c r="E56" s="270"/>
      <c r="F56" s="270"/>
      <c r="G56" s="270"/>
      <c r="H56" s="270"/>
      <c r="I56" s="270"/>
      <c r="J56" s="270"/>
      <c r="K56" s="270"/>
    </row>
    <row r="57" spans="1:11" ht="14.25" customHeight="1" x14ac:dyDescent="0.2">
      <c r="A57" s="270"/>
      <c r="B57" s="270"/>
      <c r="C57" s="270"/>
      <c r="D57" s="270"/>
      <c r="E57" s="270"/>
      <c r="F57" s="270"/>
      <c r="G57" s="270"/>
      <c r="H57" s="270"/>
      <c r="I57" s="270"/>
      <c r="J57" s="270"/>
      <c r="K57" s="270"/>
    </row>
    <row r="58" spans="1:11" ht="14.25" customHeight="1" x14ac:dyDescent="0.2">
      <c r="A58" s="270"/>
      <c r="B58" s="270"/>
      <c r="C58" s="270"/>
      <c r="D58" s="270"/>
      <c r="E58" s="270"/>
      <c r="F58" s="270"/>
      <c r="G58" s="270"/>
      <c r="H58" s="270"/>
      <c r="I58" s="270"/>
      <c r="J58" s="270"/>
      <c r="K58" s="270"/>
    </row>
    <row r="59" spans="1:11" ht="14.25" customHeight="1" x14ac:dyDescent="0.2"/>
  </sheetData>
  <mergeCells count="34">
    <mergeCell ref="A32:K32"/>
    <mergeCell ref="B33:K33"/>
    <mergeCell ref="B34:K34"/>
    <mergeCell ref="B11:K11"/>
    <mergeCell ref="A1:K1"/>
    <mergeCell ref="A2:K2"/>
    <mergeCell ref="A3:K3"/>
    <mergeCell ref="A4:K4"/>
    <mergeCell ref="A5:B5"/>
    <mergeCell ref="C5:K5"/>
    <mergeCell ref="A6:B6"/>
    <mergeCell ref="C6:K6"/>
    <mergeCell ref="A7:B7"/>
    <mergeCell ref="C7:K7"/>
    <mergeCell ref="A10:K10"/>
    <mergeCell ref="B24:K24"/>
    <mergeCell ref="B12:K12"/>
    <mergeCell ref="B14:K14"/>
    <mergeCell ref="B15:K15"/>
    <mergeCell ref="A16:K16"/>
    <mergeCell ref="B17:K17"/>
    <mergeCell ref="B29:K29"/>
    <mergeCell ref="B30:K30"/>
    <mergeCell ref="B26:K26"/>
    <mergeCell ref="B23:K23"/>
    <mergeCell ref="B13:K13"/>
    <mergeCell ref="B25:K25"/>
    <mergeCell ref="A27:K27"/>
    <mergeCell ref="B28:K28"/>
    <mergeCell ref="B18:K18"/>
    <mergeCell ref="B19:K19"/>
    <mergeCell ref="A20:K20"/>
    <mergeCell ref="B21:K21"/>
    <mergeCell ref="B22:K22"/>
  </mergeCells>
  <pageMargins left="0.25" right="0.25" top="0.5" bottom="0.5" header="0.5" footer="0.5"/>
  <pageSetup orientation="portrait" r:id="rId1"/>
  <headerFooter alignWithMargins="0"/>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85"/>
  <sheetViews>
    <sheetView zoomScaleNormal="100" workbookViewId="0">
      <selection sqref="A1:O1"/>
    </sheetView>
  </sheetViews>
  <sheetFormatPr defaultRowHeight="12.75" x14ac:dyDescent="0.2"/>
  <cols>
    <col min="1" max="1" width="3" customWidth="1"/>
    <col min="2" max="2" width="6.42578125" customWidth="1"/>
    <col min="3" max="3" width="18.7109375" customWidth="1"/>
    <col min="4" max="4" width="9.28515625" customWidth="1"/>
    <col min="5" max="5" width="18.7109375" customWidth="1"/>
    <col min="6" max="6" width="6.28515625" customWidth="1"/>
    <col min="7" max="7" width="14.7109375" customWidth="1"/>
    <col min="8" max="8" width="31" customWidth="1"/>
    <col min="9" max="9" width="10.5703125" customWidth="1"/>
    <col min="10" max="12" width="7.42578125" customWidth="1"/>
    <col min="13" max="15" width="10.5703125" customWidth="1"/>
    <col min="16" max="16" width="30.42578125" customWidth="1"/>
    <col min="17" max="17" width="42.42578125" customWidth="1"/>
    <col min="18" max="46" width="9.140625" style="335"/>
  </cols>
  <sheetData>
    <row r="1" spans="1:28" ht="18" x14ac:dyDescent="0.25">
      <c r="A1" s="539" t="s">
        <v>71</v>
      </c>
      <c r="B1" s="539"/>
      <c r="C1" s="539"/>
      <c r="D1" s="539"/>
      <c r="E1" s="539"/>
      <c r="F1" s="539"/>
      <c r="G1" s="539"/>
      <c r="H1" s="539"/>
      <c r="I1" s="539"/>
      <c r="J1" s="539"/>
      <c r="K1" s="539"/>
      <c r="L1" s="539"/>
      <c r="M1" s="539"/>
      <c r="N1" s="539"/>
      <c r="O1" s="539"/>
    </row>
    <row r="2" spans="1:28" x14ac:dyDescent="0.2">
      <c r="A2" s="1"/>
      <c r="B2" s="1"/>
      <c r="C2" s="1"/>
      <c r="D2" s="1"/>
      <c r="E2" s="1"/>
      <c r="F2" s="1"/>
      <c r="G2" s="1"/>
      <c r="H2" s="1"/>
      <c r="I2" s="1"/>
      <c r="J2" s="1"/>
      <c r="K2" s="1"/>
      <c r="L2" s="1"/>
      <c r="M2" s="1"/>
      <c r="N2" s="1"/>
      <c r="O2" s="1"/>
    </row>
    <row r="3" spans="1:28" ht="18" x14ac:dyDescent="0.25">
      <c r="A3" s="539" t="s">
        <v>70</v>
      </c>
      <c r="B3" s="539"/>
      <c r="C3" s="539"/>
      <c r="D3" s="539"/>
      <c r="E3" s="539"/>
      <c r="F3" s="539"/>
      <c r="G3" s="539"/>
      <c r="H3" s="539"/>
      <c r="I3" s="539"/>
      <c r="J3" s="539"/>
      <c r="K3" s="539"/>
      <c r="L3" s="539"/>
      <c r="M3" s="539"/>
      <c r="N3" s="539"/>
      <c r="O3" s="539"/>
    </row>
    <row r="4" spans="1:28" ht="18" x14ac:dyDescent="0.25">
      <c r="A4" s="51"/>
      <c r="B4" s="510" t="s">
        <v>484</v>
      </c>
      <c r="C4" s="510"/>
      <c r="D4" s="510"/>
      <c r="E4" s="510"/>
      <c r="F4" s="510"/>
      <c r="G4" s="510"/>
      <c r="H4" s="510"/>
      <c r="I4" s="510"/>
      <c r="J4" s="170"/>
      <c r="K4" s="541" t="s">
        <v>113</v>
      </c>
      <c r="L4" s="541"/>
      <c r="M4" s="542" t="s">
        <v>202</v>
      </c>
      <c r="N4" s="542"/>
      <c r="O4" s="171"/>
      <c r="P4" s="332" t="s">
        <v>436</v>
      </c>
      <c r="Q4" s="4"/>
    </row>
    <row r="5" spans="1:28" ht="12.75" customHeight="1" thickBot="1" x14ac:dyDescent="0.25">
      <c r="B5" s="516" t="s">
        <v>5</v>
      </c>
      <c r="C5" s="516"/>
      <c r="D5" s="52">
        <v>0.03</v>
      </c>
      <c r="E5" s="4" t="s">
        <v>93</v>
      </c>
      <c r="G5" s="8" t="s">
        <v>94</v>
      </c>
      <c r="H5" s="8"/>
      <c r="I5" s="169"/>
      <c r="J5" s="58"/>
      <c r="K5" s="168"/>
      <c r="L5" s="4" t="s">
        <v>114</v>
      </c>
      <c r="M5" s="513" t="s">
        <v>99</v>
      </c>
      <c r="N5" s="513"/>
      <c r="O5" s="337"/>
      <c r="P5" s="333">
        <v>0</v>
      </c>
      <c r="Q5" s="321"/>
    </row>
    <row r="6" spans="1:28" ht="26.25" thickBot="1" x14ac:dyDescent="0.25">
      <c r="B6" s="2" t="s">
        <v>0</v>
      </c>
      <c r="C6" s="2" t="s">
        <v>1</v>
      </c>
      <c r="D6" s="2" t="s">
        <v>2</v>
      </c>
      <c r="E6" s="2" t="s">
        <v>3</v>
      </c>
      <c r="F6" s="2" t="s">
        <v>4</v>
      </c>
      <c r="G6" s="2" t="s">
        <v>39</v>
      </c>
      <c r="H6" s="2" t="s">
        <v>532</v>
      </c>
      <c r="I6" s="2" t="s">
        <v>40</v>
      </c>
      <c r="J6" s="3" t="s">
        <v>56</v>
      </c>
      <c r="K6" s="59" t="s">
        <v>57</v>
      </c>
      <c r="L6" s="2" t="s">
        <v>58</v>
      </c>
      <c r="M6" s="3" t="s">
        <v>41</v>
      </c>
      <c r="N6" s="2" t="s">
        <v>42</v>
      </c>
      <c r="O6" s="2" t="s">
        <v>38</v>
      </c>
      <c r="P6" s="492" t="s">
        <v>240</v>
      </c>
      <c r="Q6" s="492"/>
      <c r="R6" s="334" t="s">
        <v>62</v>
      </c>
      <c r="S6" s="334" t="s">
        <v>63</v>
      </c>
      <c r="T6" s="334" t="s">
        <v>64</v>
      </c>
      <c r="V6" s="334" t="s">
        <v>62</v>
      </c>
      <c r="W6" s="334" t="s">
        <v>63</v>
      </c>
      <c r="X6" s="334" t="s">
        <v>64</v>
      </c>
      <c r="Z6" s="335" t="s">
        <v>449</v>
      </c>
      <c r="AA6" s="335" t="s">
        <v>450</v>
      </c>
    </row>
    <row r="7" spans="1:28" x14ac:dyDescent="0.2">
      <c r="A7" s="4">
        <v>1</v>
      </c>
      <c r="B7" s="21"/>
      <c r="C7" s="329"/>
      <c r="D7" s="13"/>
      <c r="E7" s="329"/>
      <c r="F7" s="13"/>
      <c r="G7" s="13"/>
      <c r="H7" s="329"/>
      <c r="I7" s="31"/>
      <c r="J7" s="13"/>
      <c r="K7" s="13"/>
      <c r="L7" s="13"/>
      <c r="M7" s="340" t="str">
        <f>IF(NOT(OR(ISBLANK(I7),I7="")), IF(OR(AND(ISBLANK(J7),ISBLANK(K7),ISBLANK(L7)),AND(J7="",K7="",L7="")),0, IF((AND((J7&gt;0),((K7+L7)&gt;0))),"Error", IF((J7&gt;0),ROUND(((I7*J7)/12),2),ROUND((I7*(K7+L7))/8.5,2)))),"")</f>
        <v/>
      </c>
      <c r="N7" s="35" t="str">
        <f>IF(ISBLANK(I7),"",ROUND(SUM(V7:X7),2))</f>
        <v/>
      </c>
      <c r="O7" s="322" t="str">
        <f>IF(ISBLANK(I7),"",ROUND(SUM(M7:N7),2))</f>
        <v/>
      </c>
      <c r="P7" s="490"/>
      <c r="Q7" s="491"/>
      <c r="R7" s="335">
        <f t="shared" ref="R7:R14" si="0">(I7/12)*J7</f>
        <v>0</v>
      </c>
      <c r="S7" s="336">
        <f>(I7/8.5)*K7</f>
        <v>0</v>
      </c>
      <c r="T7" s="335">
        <f>(I7/8.5)*L7</f>
        <v>0</v>
      </c>
      <c r="V7" s="335">
        <f t="shared" ref="V7:V14" si="1">R7*_xlfn.XLOOKUP("*"&amp;H7&amp;"*",BenB,Per,,2)</f>
        <v>0</v>
      </c>
      <c r="W7" s="335">
        <f t="shared" ref="W7:W14" si="2">S7*_xlfn.XLOOKUP("*"&amp;H7&amp;"*",BenB,Per,,2)</f>
        <v>0</v>
      </c>
      <c r="X7" s="335">
        <f t="shared" ref="X7:X14" si="3">T7*_xlfn.XLOOKUP("Summer",Ben,Per)</f>
        <v>0</v>
      </c>
      <c r="Y7" s="335" t="s">
        <v>452</v>
      </c>
      <c r="Z7" s="335" t="b">
        <f t="shared" ref="Z7:Z14" si="4">IF(OR($O$5&lt;&gt;"Federal - NIH",OR(AND(ISBLANK(J7),ISBLANK(K7),ISBLANK(L7)),AND(J7="",K7="",L7=""))),FALSE,IF(J7&gt;0,I7&gt;NIHSalaryCap,I7&gt;(NIHSalaryCap*8.5)/12))</f>
        <v>0</v>
      </c>
      <c r="AA7" s="335" t="b">
        <f>IF(AND($O$5="Federal - NIH",OR(NOT(ISBLANK(J7)),NOT(ISBLANK(K7)),NOT(ISBLANK(L7)),J7&lt;&gt;"",K7&lt;&gt;"",L7&lt;&gt;"")),IF(J7&gt;0,I7&lt;=NIHSalaryCap,I7&lt;=(NIHSalaryCap*8.5)/12),TRUE)</f>
        <v>1</v>
      </c>
      <c r="AB7" s="335" t="s">
        <v>495</v>
      </c>
    </row>
    <row r="8" spans="1:28" x14ac:dyDescent="0.2">
      <c r="A8" s="4">
        <v>2</v>
      </c>
      <c r="B8" s="5"/>
      <c r="C8" s="417"/>
      <c r="D8" s="17"/>
      <c r="E8" s="417"/>
      <c r="F8" s="17"/>
      <c r="G8" s="55"/>
      <c r="H8" s="418"/>
      <c r="I8" s="32"/>
      <c r="J8" s="17"/>
      <c r="K8" s="17"/>
      <c r="L8" s="17"/>
      <c r="M8" s="341" t="str">
        <f t="shared" ref="M8:M14" si="5">IF(NOT(OR(ISBLANK(I8),I8="")), IF(OR(AND(ISBLANK(J8),ISBLANK(K8),ISBLANK(L8)),AND(J8="",K8="",L8="")),0, IF((AND((J8&gt;0),((K8+L8)&gt;0))),"Error", IF((J8&gt;0),ROUND(((I8*J8)/12),2),ROUND((I8*(K8+L8))/8.5,2)))),"")</f>
        <v/>
      </c>
      <c r="N8" s="34" t="str">
        <f t="shared" ref="N8:N14" si="6">IF(ISBLANK(I8),"",ROUND(SUM(V8:X8),2))</f>
        <v/>
      </c>
      <c r="O8" s="287" t="str">
        <f t="shared" ref="O8:O14" si="7">IF(ISBLANK(I8),"",ROUND(SUM(M8:N8),2))</f>
        <v/>
      </c>
      <c r="P8" s="488"/>
      <c r="Q8" s="489"/>
      <c r="R8" s="335">
        <f t="shared" si="0"/>
        <v>0</v>
      </c>
      <c r="S8" s="336">
        <f t="shared" ref="S8:S14" si="8">(I8/8.5)*K8</f>
        <v>0</v>
      </c>
      <c r="T8" s="335">
        <f t="shared" ref="T8:T14" si="9">(I8/8.5)*L8</f>
        <v>0</v>
      </c>
      <c r="V8" s="335">
        <f t="shared" si="1"/>
        <v>0</v>
      </c>
      <c r="W8" s="335">
        <f t="shared" si="2"/>
        <v>0</v>
      </c>
      <c r="X8" s="335">
        <f t="shared" si="3"/>
        <v>0</v>
      </c>
      <c r="Y8" s="335" t="s">
        <v>452</v>
      </c>
      <c r="Z8" s="335" t="b">
        <f t="shared" si="4"/>
        <v>0</v>
      </c>
      <c r="AA8" s="335" t="b">
        <f t="shared" ref="AA8:AA14" si="10">IF(AND($O$5="Federal - NIH",OR(NOT(ISBLANK(J8)),NOT(ISBLANK(K8)),NOT(ISBLANK(L8)),J8&lt;&gt;"",K8&lt;&gt;"",L8&lt;&gt;"")),IF(J8&gt;0,I8&lt;=NIHSalaryCap,I8&lt;=(NIHSalaryCap*8.5)/12),TRUE)</f>
        <v>1</v>
      </c>
      <c r="AB8" s="335" t="s">
        <v>495</v>
      </c>
    </row>
    <row r="9" spans="1:28" x14ac:dyDescent="0.2">
      <c r="A9" s="4">
        <v>3</v>
      </c>
      <c r="B9" s="5"/>
      <c r="C9" s="417"/>
      <c r="D9" s="17"/>
      <c r="E9" s="417"/>
      <c r="F9" s="17"/>
      <c r="G9" s="17"/>
      <c r="H9" s="417"/>
      <c r="I9" s="32"/>
      <c r="J9" s="17"/>
      <c r="K9" s="17"/>
      <c r="L9" s="17"/>
      <c r="M9" s="341" t="str">
        <f t="shared" si="5"/>
        <v/>
      </c>
      <c r="N9" s="34" t="str">
        <f t="shared" si="6"/>
        <v/>
      </c>
      <c r="O9" s="287" t="str">
        <f t="shared" si="7"/>
        <v/>
      </c>
      <c r="P9" s="488"/>
      <c r="Q9" s="489"/>
      <c r="R9" s="335">
        <f t="shared" si="0"/>
        <v>0</v>
      </c>
      <c r="S9" s="336">
        <f t="shared" si="8"/>
        <v>0</v>
      </c>
      <c r="T9" s="335">
        <f t="shared" si="9"/>
        <v>0</v>
      </c>
      <c r="V9" s="335">
        <f t="shared" si="1"/>
        <v>0</v>
      </c>
      <c r="W9" s="335">
        <f t="shared" si="2"/>
        <v>0</v>
      </c>
      <c r="X9" s="335">
        <f t="shared" si="3"/>
        <v>0</v>
      </c>
      <c r="Y9" s="335" t="s">
        <v>452</v>
      </c>
      <c r="Z9" s="335" t="b">
        <f t="shared" si="4"/>
        <v>0</v>
      </c>
      <c r="AA9" s="335" t="b">
        <f t="shared" si="10"/>
        <v>1</v>
      </c>
      <c r="AB9" s="335" t="s">
        <v>495</v>
      </c>
    </row>
    <row r="10" spans="1:28" x14ac:dyDescent="0.2">
      <c r="A10" s="4">
        <v>4</v>
      </c>
      <c r="B10" s="5"/>
      <c r="C10" s="17"/>
      <c r="D10" s="17"/>
      <c r="E10" s="417"/>
      <c r="F10" s="17"/>
      <c r="G10" s="55"/>
      <c r="H10" s="55"/>
      <c r="I10" s="32"/>
      <c r="J10" s="17"/>
      <c r="K10" s="17"/>
      <c r="L10" s="17"/>
      <c r="M10" s="341" t="str">
        <f t="shared" si="5"/>
        <v/>
      </c>
      <c r="N10" s="34" t="str">
        <f t="shared" si="6"/>
        <v/>
      </c>
      <c r="O10" s="287" t="str">
        <f t="shared" si="7"/>
        <v/>
      </c>
      <c r="P10" s="488"/>
      <c r="Q10" s="489"/>
      <c r="R10" s="335">
        <f t="shared" si="0"/>
        <v>0</v>
      </c>
      <c r="S10" s="336">
        <f t="shared" si="8"/>
        <v>0</v>
      </c>
      <c r="T10" s="335">
        <f t="shared" si="9"/>
        <v>0</v>
      </c>
      <c r="V10" s="335">
        <f t="shared" si="1"/>
        <v>0</v>
      </c>
      <c r="W10" s="335">
        <f t="shared" si="2"/>
        <v>0</v>
      </c>
      <c r="X10" s="335">
        <f t="shared" si="3"/>
        <v>0</v>
      </c>
      <c r="Y10" s="335" t="s">
        <v>452</v>
      </c>
      <c r="Z10" s="335" t="b">
        <f t="shared" si="4"/>
        <v>0</v>
      </c>
      <c r="AA10" s="335" t="b">
        <f t="shared" si="10"/>
        <v>1</v>
      </c>
      <c r="AB10" s="335" t="s">
        <v>495</v>
      </c>
    </row>
    <row r="11" spans="1:28" x14ac:dyDescent="0.2">
      <c r="A11" s="4">
        <v>5</v>
      </c>
      <c r="B11" s="5"/>
      <c r="C11" s="17"/>
      <c r="D11" s="17"/>
      <c r="E11" s="17"/>
      <c r="F11" s="17"/>
      <c r="G11" s="56"/>
      <c r="H11" s="56"/>
      <c r="I11" s="32"/>
      <c r="J11" s="17"/>
      <c r="K11" s="17"/>
      <c r="L11" s="17"/>
      <c r="M11" s="341" t="str">
        <f t="shared" si="5"/>
        <v/>
      </c>
      <c r="N11" s="34" t="str">
        <f t="shared" si="6"/>
        <v/>
      </c>
      <c r="O11" s="287" t="str">
        <f t="shared" si="7"/>
        <v/>
      </c>
      <c r="P11" s="488"/>
      <c r="Q11" s="489"/>
      <c r="R11" s="335">
        <f t="shared" si="0"/>
        <v>0</v>
      </c>
      <c r="S11" s="336">
        <f t="shared" si="8"/>
        <v>0</v>
      </c>
      <c r="T11" s="335">
        <f t="shared" si="9"/>
        <v>0</v>
      </c>
      <c r="V11" s="335">
        <f t="shared" si="1"/>
        <v>0</v>
      </c>
      <c r="W11" s="335">
        <f t="shared" si="2"/>
        <v>0</v>
      </c>
      <c r="X11" s="335">
        <f t="shared" si="3"/>
        <v>0</v>
      </c>
      <c r="Y11" s="335" t="s">
        <v>452</v>
      </c>
      <c r="Z11" s="335" t="b">
        <f t="shared" si="4"/>
        <v>0</v>
      </c>
      <c r="AA11" s="335" t="b">
        <f t="shared" si="10"/>
        <v>1</v>
      </c>
      <c r="AB11" s="335" t="s">
        <v>495</v>
      </c>
    </row>
    <row r="12" spans="1:28" x14ac:dyDescent="0.2">
      <c r="A12" s="4">
        <v>6</v>
      </c>
      <c r="B12" s="5"/>
      <c r="C12" s="17"/>
      <c r="D12" s="17"/>
      <c r="E12" s="17"/>
      <c r="F12" s="17"/>
      <c r="G12" s="17"/>
      <c r="H12" s="17"/>
      <c r="I12" s="32"/>
      <c r="J12" s="17"/>
      <c r="K12" s="17"/>
      <c r="L12" s="17"/>
      <c r="M12" s="341" t="str">
        <f t="shared" si="5"/>
        <v/>
      </c>
      <c r="N12" s="34" t="str">
        <f t="shared" si="6"/>
        <v/>
      </c>
      <c r="O12" s="287" t="str">
        <f t="shared" si="7"/>
        <v/>
      </c>
      <c r="P12" s="488"/>
      <c r="Q12" s="489"/>
      <c r="R12" s="335">
        <f t="shared" si="0"/>
        <v>0</v>
      </c>
      <c r="S12" s="336">
        <f t="shared" si="8"/>
        <v>0</v>
      </c>
      <c r="T12" s="335">
        <f t="shared" si="9"/>
        <v>0</v>
      </c>
      <c r="V12" s="335">
        <f t="shared" si="1"/>
        <v>0</v>
      </c>
      <c r="W12" s="335">
        <f t="shared" si="2"/>
        <v>0</v>
      </c>
      <c r="X12" s="335">
        <f t="shared" si="3"/>
        <v>0</v>
      </c>
      <c r="Y12" s="335" t="s">
        <v>452</v>
      </c>
      <c r="Z12" s="335" t="b">
        <f t="shared" si="4"/>
        <v>0</v>
      </c>
      <c r="AA12" s="335" t="b">
        <f t="shared" si="10"/>
        <v>1</v>
      </c>
      <c r="AB12" s="335" t="s">
        <v>495</v>
      </c>
    </row>
    <row r="13" spans="1:28" x14ac:dyDescent="0.2">
      <c r="A13" s="4">
        <v>7</v>
      </c>
      <c r="B13" s="5"/>
      <c r="C13" s="17"/>
      <c r="D13" s="17"/>
      <c r="E13" s="17"/>
      <c r="F13" s="17"/>
      <c r="G13" s="17"/>
      <c r="H13" s="17"/>
      <c r="I13" s="32"/>
      <c r="J13" s="17"/>
      <c r="K13" s="17"/>
      <c r="L13" s="17"/>
      <c r="M13" s="341" t="str">
        <f t="shared" si="5"/>
        <v/>
      </c>
      <c r="N13" s="34" t="str">
        <f t="shared" si="6"/>
        <v/>
      </c>
      <c r="O13" s="287" t="str">
        <f t="shared" si="7"/>
        <v/>
      </c>
      <c r="P13" s="488"/>
      <c r="Q13" s="489"/>
      <c r="R13" s="335">
        <f t="shared" si="0"/>
        <v>0</v>
      </c>
      <c r="S13" s="336">
        <f t="shared" si="8"/>
        <v>0</v>
      </c>
      <c r="T13" s="335">
        <f t="shared" si="9"/>
        <v>0</v>
      </c>
      <c r="V13" s="335">
        <f t="shared" si="1"/>
        <v>0</v>
      </c>
      <c r="W13" s="335">
        <f t="shared" si="2"/>
        <v>0</v>
      </c>
      <c r="X13" s="335">
        <f t="shared" si="3"/>
        <v>0</v>
      </c>
      <c r="Y13" s="335" t="s">
        <v>452</v>
      </c>
      <c r="Z13" s="335" t="b">
        <f t="shared" si="4"/>
        <v>0</v>
      </c>
      <c r="AA13" s="335" t="b">
        <f t="shared" si="10"/>
        <v>1</v>
      </c>
      <c r="AB13" s="335" t="s">
        <v>495</v>
      </c>
    </row>
    <row r="14" spans="1:28" ht="13.5" thickBot="1" x14ac:dyDescent="0.25">
      <c r="A14" s="4">
        <v>8</v>
      </c>
      <c r="B14" s="6"/>
      <c r="C14" s="22"/>
      <c r="D14" s="22"/>
      <c r="E14" s="22"/>
      <c r="F14" s="22"/>
      <c r="G14" s="54"/>
      <c r="H14" s="54"/>
      <c r="I14" s="32"/>
      <c r="J14" s="22"/>
      <c r="K14" s="22"/>
      <c r="L14" s="22"/>
      <c r="M14" s="342" t="str">
        <f t="shared" si="5"/>
        <v/>
      </c>
      <c r="N14" s="39" t="str">
        <f t="shared" si="6"/>
        <v/>
      </c>
      <c r="O14" s="325" t="str">
        <f t="shared" si="7"/>
        <v/>
      </c>
      <c r="P14" s="488"/>
      <c r="Q14" s="489"/>
      <c r="R14" s="335">
        <f t="shared" si="0"/>
        <v>0</v>
      </c>
      <c r="S14" s="336">
        <f t="shared" si="8"/>
        <v>0</v>
      </c>
      <c r="T14" s="335">
        <f t="shared" si="9"/>
        <v>0</v>
      </c>
      <c r="V14" s="335">
        <f t="shared" si="1"/>
        <v>0</v>
      </c>
      <c r="W14" s="335">
        <f t="shared" si="2"/>
        <v>0</v>
      </c>
      <c r="X14" s="335">
        <f t="shared" si="3"/>
        <v>0</v>
      </c>
      <c r="Y14" s="335" t="s">
        <v>452</v>
      </c>
      <c r="Z14" s="335" t="b">
        <f t="shared" si="4"/>
        <v>0</v>
      </c>
      <c r="AA14" s="335" t="b">
        <f t="shared" si="10"/>
        <v>1</v>
      </c>
      <c r="AB14" s="335" t="s">
        <v>495</v>
      </c>
    </row>
    <row r="15" spans="1:28" ht="13.5" thickBot="1" x14ac:dyDescent="0.25">
      <c r="A15" s="4">
        <v>9</v>
      </c>
      <c r="B15" s="20">
        <f>COUNTIF(E20:E34,"*")</f>
        <v>0</v>
      </c>
      <c r="C15" s="540" t="s">
        <v>49</v>
      </c>
      <c r="D15" s="540"/>
      <c r="E15" s="540"/>
      <c r="F15" s="540"/>
      <c r="G15" s="543" t="s">
        <v>59</v>
      </c>
      <c r="H15" s="543"/>
      <c r="I15" s="543"/>
      <c r="J15" s="543"/>
      <c r="K15" s="543"/>
      <c r="L15" s="543"/>
      <c r="M15" s="543"/>
      <c r="N15" s="544"/>
      <c r="O15" s="324">
        <f>SUM(O20:O34)</f>
        <v>0</v>
      </c>
      <c r="P15" s="511"/>
      <c r="Q15" s="464"/>
      <c r="R15" s="335">
        <f>SUM(R7:R14)</f>
        <v>0</v>
      </c>
      <c r="S15" s="335">
        <f>SUM(S7:S14)</f>
        <v>0</v>
      </c>
      <c r="T15" s="335">
        <f>SUM(T7:T14)</f>
        <v>0</v>
      </c>
      <c r="V15" s="335">
        <f>SUM(V7:V14)</f>
        <v>0</v>
      </c>
      <c r="W15" s="335">
        <f>SUM(W7:W14)</f>
        <v>0</v>
      </c>
      <c r="X15" s="335">
        <f>SUM(X7:X14)</f>
        <v>0</v>
      </c>
    </row>
    <row r="16" spans="1:28" ht="13.5" thickBot="1" x14ac:dyDescent="0.25">
      <c r="B16" s="20">
        <f>SUM(COUNTIF(E7:E14,"*"),B15)</f>
        <v>0</v>
      </c>
      <c r="C16" s="515" t="s">
        <v>48</v>
      </c>
      <c r="D16" s="516"/>
      <c r="E16" s="516"/>
      <c r="F16" s="516"/>
      <c r="I16" s="8"/>
      <c r="J16" s="8"/>
      <c r="K16" s="513" t="s">
        <v>31</v>
      </c>
      <c r="L16" s="513"/>
      <c r="M16" s="513"/>
      <c r="N16" s="514"/>
      <c r="O16" s="326">
        <f>SUM(O7:O15)</f>
        <v>0</v>
      </c>
      <c r="P16" s="496"/>
      <c r="Q16" s="497"/>
    </row>
    <row r="17" spans="1:28" x14ac:dyDescent="0.2">
      <c r="I17" s="8"/>
      <c r="J17" s="8"/>
      <c r="K17" s="9"/>
      <c r="L17" s="9"/>
      <c r="M17" s="9"/>
      <c r="N17" s="9"/>
      <c r="O17" s="8"/>
    </row>
    <row r="18" spans="1:28" x14ac:dyDescent="0.2">
      <c r="B18" s="498" t="s">
        <v>232</v>
      </c>
      <c r="C18" s="498"/>
      <c r="D18" s="498"/>
    </row>
    <row r="19" spans="1:28" ht="26.25" thickBot="1" x14ac:dyDescent="0.25">
      <c r="B19" s="2" t="s">
        <v>0</v>
      </c>
      <c r="C19" s="2" t="s">
        <v>1</v>
      </c>
      <c r="D19" s="2" t="s">
        <v>2</v>
      </c>
      <c r="E19" s="2" t="s">
        <v>3</v>
      </c>
      <c r="F19" s="2" t="s">
        <v>4</v>
      </c>
      <c r="G19" s="2" t="s">
        <v>39</v>
      </c>
      <c r="H19" s="2" t="s">
        <v>532</v>
      </c>
      <c r="I19" s="2" t="s">
        <v>40</v>
      </c>
      <c r="J19" s="3" t="s">
        <v>56</v>
      </c>
      <c r="K19" s="3" t="s">
        <v>57</v>
      </c>
      <c r="L19" s="2" t="s">
        <v>58</v>
      </c>
      <c r="M19" s="3" t="s">
        <v>41</v>
      </c>
      <c r="N19" s="2" t="s">
        <v>42</v>
      </c>
      <c r="O19" s="2" t="s">
        <v>38</v>
      </c>
      <c r="P19" s="493" t="s">
        <v>240</v>
      </c>
      <c r="Q19" s="493"/>
      <c r="R19" s="334" t="s">
        <v>62</v>
      </c>
      <c r="S19" s="334" t="s">
        <v>63</v>
      </c>
      <c r="T19" s="334" t="s">
        <v>64</v>
      </c>
      <c r="V19" s="334" t="s">
        <v>62</v>
      </c>
      <c r="W19" s="334" t="s">
        <v>63</v>
      </c>
      <c r="X19" s="334" t="s">
        <v>64</v>
      </c>
      <c r="Z19" s="335" t="s">
        <v>449</v>
      </c>
      <c r="AA19" s="335" t="s">
        <v>450</v>
      </c>
    </row>
    <row r="20" spans="1:28" x14ac:dyDescent="0.2">
      <c r="A20" s="4">
        <v>1</v>
      </c>
      <c r="B20" s="21"/>
      <c r="C20" s="13"/>
      <c r="D20" s="13"/>
      <c r="E20" s="209"/>
      <c r="F20" s="13"/>
      <c r="G20" s="203"/>
      <c r="H20" s="203"/>
      <c r="I20" s="204"/>
      <c r="J20" s="205"/>
      <c r="K20" s="205"/>
      <c r="L20" s="205"/>
      <c r="M20" s="340" t="str">
        <f t="shared" ref="M20:M34" si="11">IF(NOT(OR(ISBLANK(I20),I20="")), IF(OR(AND(ISBLANK(J20),ISBLANK(K20),ISBLANK(L20)),AND(J20="",K20="",L20="")),0, IF((AND((J20&gt;0),((K20+L20)&gt;0))),"Error", IF((J20&gt;0),ROUND(((I20*J20)/12),2),ROUND((I20*(K20+L20))/8.5,2)))),"")</f>
        <v/>
      </c>
      <c r="N20" s="35" t="str">
        <f t="shared" ref="N20:N26" si="12">IF(ISBLANK(I20),"",ROUND(SUM(V20:X20),2))</f>
        <v/>
      </c>
      <c r="O20" s="322" t="str">
        <f t="shared" ref="O20:O26" si="13">IF(ISBLANK(I20),"",ROUND(SUM(M20:N20),2))</f>
        <v/>
      </c>
      <c r="P20" s="494"/>
      <c r="Q20" s="495"/>
      <c r="R20" s="335">
        <f t="shared" ref="R20:R27" si="14">(I20/12)*J20</f>
        <v>0</v>
      </c>
      <c r="S20" s="336">
        <f>(I20/8.5)*K20</f>
        <v>0</v>
      </c>
      <c r="T20" s="335">
        <f>(I20/8.5)*L20</f>
        <v>0</v>
      </c>
      <c r="V20" s="335">
        <f t="shared" ref="V20:V34" si="15">R20*_xlfn.XLOOKUP("*"&amp;H20&amp;"*",BenB,Per,,2)</f>
        <v>0</v>
      </c>
      <c r="W20" s="335">
        <f t="shared" ref="W20:W34" si="16">S20*_xlfn.XLOOKUP("*"&amp;H20&amp;"*",BenB,Per,,2)</f>
        <v>0</v>
      </c>
      <c r="X20" s="335">
        <f t="shared" ref="X20:X34" si="17">T20*_xlfn.XLOOKUP("Summer",Ben,Per)</f>
        <v>0</v>
      </c>
      <c r="Y20" s="335" t="s">
        <v>452</v>
      </c>
      <c r="Z20" s="335" t="b">
        <f t="shared" ref="Z20:Z34" si="18">IF(OR($O$5&lt;&gt;"Federal - NIH",OR(AND(ISBLANK(J20),ISBLANK(K20),ISBLANK(L20)),AND(J20="",K20="",L20=""))),FALSE,IF(J20&gt;0,I20&gt;NIHSalaryCap,I20&gt;(NIHSalaryCap*8.5)/12))</f>
        <v>0</v>
      </c>
      <c r="AA20" s="335" t="b">
        <f t="shared" ref="AA20:AA34" si="19">IF(AND($O$5="Federal - NIH",OR(NOT(ISBLANK(J20)),NOT(ISBLANK(K20)),NOT(ISBLANK(L20)),J20&lt;&gt;"",K20&lt;&gt;"",L20&lt;&gt;"")),IF(J20&gt;0,I20&lt;=NIHSalaryCap,I20&lt;=(NIHSalaryCap*8.5)/12),TRUE)</f>
        <v>1</v>
      </c>
      <c r="AB20" s="335" t="s">
        <v>495</v>
      </c>
    </row>
    <row r="21" spans="1:28" x14ac:dyDescent="0.2">
      <c r="A21" s="4">
        <v>2</v>
      </c>
      <c r="B21" s="5"/>
      <c r="C21" s="17"/>
      <c r="D21" s="17"/>
      <c r="E21" s="211"/>
      <c r="F21" s="17"/>
      <c r="G21" s="17"/>
      <c r="H21" s="17"/>
      <c r="I21" s="32"/>
      <c r="J21" s="16"/>
      <c r="K21" s="16"/>
      <c r="L21" s="16"/>
      <c r="M21" s="341" t="str">
        <f t="shared" si="11"/>
        <v/>
      </c>
      <c r="N21" s="34" t="str">
        <f t="shared" si="12"/>
        <v/>
      </c>
      <c r="O21" s="287" t="str">
        <f t="shared" si="13"/>
        <v/>
      </c>
      <c r="P21" s="488"/>
      <c r="Q21" s="489"/>
      <c r="R21" s="335">
        <f t="shared" si="14"/>
        <v>0</v>
      </c>
      <c r="S21" s="336">
        <f t="shared" ref="S21:S27" si="20">(I21/8.5)*K21</f>
        <v>0</v>
      </c>
      <c r="T21" s="335">
        <f t="shared" ref="T21:T27" si="21">(I21/8.5)*L21</f>
        <v>0</v>
      </c>
      <c r="V21" s="335">
        <f t="shared" si="15"/>
        <v>0</v>
      </c>
      <c r="W21" s="335">
        <f t="shared" si="16"/>
        <v>0</v>
      </c>
      <c r="X21" s="335">
        <f t="shared" si="17"/>
        <v>0</v>
      </c>
      <c r="Y21" s="335" t="s">
        <v>452</v>
      </c>
      <c r="Z21" s="335" t="b">
        <f t="shared" si="18"/>
        <v>0</v>
      </c>
      <c r="AA21" s="335" t="b">
        <f t="shared" si="19"/>
        <v>1</v>
      </c>
      <c r="AB21" s="335" t="s">
        <v>495</v>
      </c>
    </row>
    <row r="22" spans="1:28" x14ac:dyDescent="0.2">
      <c r="A22" s="4">
        <v>3</v>
      </c>
      <c r="B22" s="5"/>
      <c r="C22" s="17"/>
      <c r="D22" s="17"/>
      <c r="E22" s="17"/>
      <c r="F22" s="17"/>
      <c r="G22" s="55"/>
      <c r="H22" s="55"/>
      <c r="I22" s="32"/>
      <c r="J22" s="16"/>
      <c r="K22" s="16"/>
      <c r="L22" s="16"/>
      <c r="M22" s="341" t="str">
        <f t="shared" si="11"/>
        <v/>
      </c>
      <c r="N22" s="34" t="str">
        <f t="shared" si="12"/>
        <v/>
      </c>
      <c r="O22" s="287" t="str">
        <f t="shared" si="13"/>
        <v/>
      </c>
      <c r="P22" s="488"/>
      <c r="Q22" s="489"/>
      <c r="R22" s="335">
        <f t="shared" si="14"/>
        <v>0</v>
      </c>
      <c r="S22" s="336">
        <f t="shared" si="20"/>
        <v>0</v>
      </c>
      <c r="T22" s="335">
        <f t="shared" si="21"/>
        <v>0</v>
      </c>
      <c r="V22" s="335">
        <f t="shared" si="15"/>
        <v>0</v>
      </c>
      <c r="W22" s="335">
        <f t="shared" si="16"/>
        <v>0</v>
      </c>
      <c r="X22" s="335">
        <f t="shared" si="17"/>
        <v>0</v>
      </c>
      <c r="Y22" s="335" t="s">
        <v>452</v>
      </c>
      <c r="Z22" s="335" t="b">
        <f t="shared" si="18"/>
        <v>0</v>
      </c>
      <c r="AA22" s="335" t="b">
        <f t="shared" si="19"/>
        <v>1</v>
      </c>
      <c r="AB22" s="335" t="s">
        <v>495</v>
      </c>
    </row>
    <row r="23" spans="1:28" x14ac:dyDescent="0.2">
      <c r="A23" s="4">
        <v>4</v>
      </c>
      <c r="B23" s="5"/>
      <c r="C23" s="17"/>
      <c r="D23" s="17"/>
      <c r="E23" s="17"/>
      <c r="F23" s="17"/>
      <c r="G23" s="56"/>
      <c r="H23" s="56"/>
      <c r="I23" s="32"/>
      <c r="J23" s="16"/>
      <c r="K23" s="16"/>
      <c r="L23" s="16"/>
      <c r="M23" s="341" t="str">
        <f t="shared" si="11"/>
        <v/>
      </c>
      <c r="N23" s="34" t="str">
        <f t="shared" si="12"/>
        <v/>
      </c>
      <c r="O23" s="287" t="str">
        <f t="shared" si="13"/>
        <v/>
      </c>
      <c r="P23" s="488"/>
      <c r="Q23" s="489"/>
      <c r="R23" s="335">
        <f t="shared" si="14"/>
        <v>0</v>
      </c>
      <c r="S23" s="336">
        <f t="shared" si="20"/>
        <v>0</v>
      </c>
      <c r="T23" s="335">
        <f t="shared" si="21"/>
        <v>0</v>
      </c>
      <c r="V23" s="335">
        <f t="shared" si="15"/>
        <v>0</v>
      </c>
      <c r="W23" s="335">
        <f t="shared" si="16"/>
        <v>0</v>
      </c>
      <c r="X23" s="335">
        <f t="shared" si="17"/>
        <v>0</v>
      </c>
      <c r="Y23" s="335" t="s">
        <v>452</v>
      </c>
      <c r="Z23" s="335" t="b">
        <f t="shared" si="18"/>
        <v>0</v>
      </c>
      <c r="AA23" s="335" t="b">
        <f t="shared" si="19"/>
        <v>1</v>
      </c>
      <c r="AB23" s="335" t="s">
        <v>495</v>
      </c>
    </row>
    <row r="24" spans="1:28" x14ac:dyDescent="0.2">
      <c r="A24" s="4">
        <v>5</v>
      </c>
      <c r="B24" s="5"/>
      <c r="C24" s="17"/>
      <c r="D24" s="17"/>
      <c r="E24" s="17"/>
      <c r="F24" s="17"/>
      <c r="G24" s="17"/>
      <c r="H24" s="17"/>
      <c r="I24" s="32"/>
      <c r="J24" s="16"/>
      <c r="K24" s="16"/>
      <c r="L24" s="16"/>
      <c r="M24" s="341" t="str">
        <f t="shared" si="11"/>
        <v/>
      </c>
      <c r="N24" s="34" t="str">
        <f t="shared" si="12"/>
        <v/>
      </c>
      <c r="O24" s="287" t="str">
        <f t="shared" si="13"/>
        <v/>
      </c>
      <c r="P24" s="488"/>
      <c r="Q24" s="489"/>
      <c r="R24" s="335">
        <f t="shared" si="14"/>
        <v>0</v>
      </c>
      <c r="S24" s="336">
        <f t="shared" si="20"/>
        <v>0</v>
      </c>
      <c r="T24" s="335">
        <f t="shared" si="21"/>
        <v>0</v>
      </c>
      <c r="V24" s="335">
        <f t="shared" si="15"/>
        <v>0</v>
      </c>
      <c r="W24" s="335">
        <f t="shared" si="16"/>
        <v>0</v>
      </c>
      <c r="X24" s="335">
        <f t="shared" si="17"/>
        <v>0</v>
      </c>
      <c r="Y24" s="335" t="s">
        <v>452</v>
      </c>
      <c r="Z24" s="335" t="b">
        <f t="shared" si="18"/>
        <v>0</v>
      </c>
      <c r="AA24" s="335" t="b">
        <f t="shared" si="19"/>
        <v>1</v>
      </c>
      <c r="AB24" s="335" t="s">
        <v>495</v>
      </c>
    </row>
    <row r="25" spans="1:28" x14ac:dyDescent="0.2">
      <c r="A25" s="4">
        <v>6</v>
      </c>
      <c r="B25" s="5"/>
      <c r="C25" s="17"/>
      <c r="D25" s="17"/>
      <c r="E25" s="17"/>
      <c r="F25" s="17"/>
      <c r="G25" s="17"/>
      <c r="H25" s="17"/>
      <c r="I25" s="32"/>
      <c r="J25" s="16"/>
      <c r="K25" s="16"/>
      <c r="L25" s="16"/>
      <c r="M25" s="341" t="str">
        <f t="shared" si="11"/>
        <v/>
      </c>
      <c r="N25" s="34" t="str">
        <f t="shared" si="12"/>
        <v/>
      </c>
      <c r="O25" s="287" t="str">
        <f t="shared" si="13"/>
        <v/>
      </c>
      <c r="P25" s="488"/>
      <c r="Q25" s="489"/>
      <c r="R25" s="335">
        <f t="shared" si="14"/>
        <v>0</v>
      </c>
      <c r="S25" s="336">
        <f t="shared" si="20"/>
        <v>0</v>
      </c>
      <c r="T25" s="335">
        <f t="shared" si="21"/>
        <v>0</v>
      </c>
      <c r="V25" s="335">
        <f t="shared" si="15"/>
        <v>0</v>
      </c>
      <c r="W25" s="335">
        <f t="shared" si="16"/>
        <v>0</v>
      </c>
      <c r="X25" s="335">
        <f t="shared" si="17"/>
        <v>0</v>
      </c>
      <c r="Y25" s="335" t="s">
        <v>452</v>
      </c>
      <c r="Z25" s="335" t="b">
        <f t="shared" si="18"/>
        <v>0</v>
      </c>
      <c r="AA25" s="335" t="b">
        <f t="shared" si="19"/>
        <v>1</v>
      </c>
      <c r="AB25" s="335" t="s">
        <v>495</v>
      </c>
    </row>
    <row r="26" spans="1:28" x14ac:dyDescent="0.2">
      <c r="A26" s="4">
        <v>7</v>
      </c>
      <c r="B26" s="5"/>
      <c r="C26" s="17"/>
      <c r="D26" s="17"/>
      <c r="E26" s="17"/>
      <c r="F26" s="17"/>
      <c r="G26" s="17"/>
      <c r="H26" s="17"/>
      <c r="I26" s="32"/>
      <c r="J26" s="16"/>
      <c r="K26" s="16"/>
      <c r="L26" s="16"/>
      <c r="M26" s="341" t="str">
        <f t="shared" si="11"/>
        <v/>
      </c>
      <c r="N26" s="34" t="str">
        <f t="shared" si="12"/>
        <v/>
      </c>
      <c r="O26" s="287" t="str">
        <f t="shared" si="13"/>
        <v/>
      </c>
      <c r="P26" s="488"/>
      <c r="Q26" s="489"/>
      <c r="R26" s="335">
        <f t="shared" si="14"/>
        <v>0</v>
      </c>
      <c r="S26" s="336">
        <f t="shared" si="20"/>
        <v>0</v>
      </c>
      <c r="T26" s="335">
        <f t="shared" si="21"/>
        <v>0</v>
      </c>
      <c r="V26" s="335">
        <f t="shared" si="15"/>
        <v>0</v>
      </c>
      <c r="W26" s="335">
        <f t="shared" si="16"/>
        <v>0</v>
      </c>
      <c r="X26" s="335">
        <f t="shared" si="17"/>
        <v>0</v>
      </c>
      <c r="Y26" s="335" t="s">
        <v>452</v>
      </c>
      <c r="Z26" s="335" t="b">
        <f t="shared" si="18"/>
        <v>0</v>
      </c>
      <c r="AA26" s="335" t="b">
        <f t="shared" si="19"/>
        <v>1</v>
      </c>
      <c r="AB26" s="335" t="s">
        <v>495</v>
      </c>
    </row>
    <row r="27" spans="1:28" x14ac:dyDescent="0.2">
      <c r="A27" s="4">
        <v>8</v>
      </c>
      <c r="B27" s="57"/>
      <c r="C27" s="54"/>
      <c r="D27" s="54"/>
      <c r="E27" s="54"/>
      <c r="F27" s="54"/>
      <c r="G27" s="54"/>
      <c r="H27" s="54"/>
      <c r="I27" s="32"/>
      <c r="J27" s="16"/>
      <c r="K27" s="16"/>
      <c r="L27" s="16"/>
      <c r="M27" s="341" t="str">
        <f t="shared" si="11"/>
        <v/>
      </c>
      <c r="N27" s="39" t="str">
        <f t="shared" ref="N27:N34" si="22">IF(ISBLANK(I27),"",ROUND(SUM(V27:X27),2))</f>
        <v/>
      </c>
      <c r="O27" s="286" t="str">
        <f t="shared" ref="O27:O34" si="23">IF(ISBLANK(I27),"",ROUND(SUM(M27:N27),2))</f>
        <v/>
      </c>
      <c r="P27" s="488"/>
      <c r="Q27" s="489"/>
      <c r="R27" s="335">
        <f t="shared" si="14"/>
        <v>0</v>
      </c>
      <c r="S27" s="336">
        <f t="shared" si="20"/>
        <v>0</v>
      </c>
      <c r="T27" s="335">
        <f t="shared" si="21"/>
        <v>0</v>
      </c>
      <c r="V27" s="335">
        <f t="shared" si="15"/>
        <v>0</v>
      </c>
      <c r="W27" s="335">
        <f t="shared" si="16"/>
        <v>0</v>
      </c>
      <c r="X27" s="335">
        <f t="shared" si="17"/>
        <v>0</v>
      </c>
      <c r="Y27" s="335" t="s">
        <v>452</v>
      </c>
      <c r="Z27" s="335" t="b">
        <f t="shared" si="18"/>
        <v>0</v>
      </c>
      <c r="AA27" s="335" t="b">
        <f t="shared" si="19"/>
        <v>1</v>
      </c>
      <c r="AB27" s="335" t="s">
        <v>495</v>
      </c>
    </row>
    <row r="28" spans="1:28" x14ac:dyDescent="0.2">
      <c r="A28" s="4">
        <v>9</v>
      </c>
      <c r="B28" s="5"/>
      <c r="C28" s="17"/>
      <c r="D28" s="17"/>
      <c r="E28" s="17"/>
      <c r="F28" s="17"/>
      <c r="G28" s="56"/>
      <c r="H28" s="56"/>
      <c r="I28" s="32"/>
      <c r="J28" s="16"/>
      <c r="K28" s="16"/>
      <c r="L28" s="16"/>
      <c r="M28" s="341" t="str">
        <f t="shared" si="11"/>
        <v/>
      </c>
      <c r="N28" s="34" t="str">
        <f t="shared" si="22"/>
        <v/>
      </c>
      <c r="O28" s="287" t="str">
        <f t="shared" si="23"/>
        <v/>
      </c>
      <c r="P28" s="488"/>
      <c r="Q28" s="489"/>
      <c r="R28" s="335">
        <f t="shared" ref="R28:R34" si="24">(I28/12)*J28</f>
        <v>0</v>
      </c>
      <c r="S28" s="336">
        <f t="shared" ref="S28:S34" si="25">(I28/8.5)*K28</f>
        <v>0</v>
      </c>
      <c r="T28" s="335">
        <f t="shared" ref="T28:T34" si="26">(I28/8.5)*L28</f>
        <v>0</v>
      </c>
      <c r="V28" s="335">
        <f t="shared" si="15"/>
        <v>0</v>
      </c>
      <c r="W28" s="335">
        <f t="shared" si="16"/>
        <v>0</v>
      </c>
      <c r="X28" s="335">
        <f t="shared" si="17"/>
        <v>0</v>
      </c>
      <c r="Y28" s="335" t="s">
        <v>452</v>
      </c>
      <c r="Z28" s="335" t="b">
        <f t="shared" si="18"/>
        <v>0</v>
      </c>
      <c r="AA28" s="335" t="b">
        <f t="shared" si="19"/>
        <v>1</v>
      </c>
      <c r="AB28" s="335" t="s">
        <v>495</v>
      </c>
    </row>
    <row r="29" spans="1:28" x14ac:dyDescent="0.2">
      <c r="A29" s="4">
        <v>10</v>
      </c>
      <c r="B29" s="5"/>
      <c r="C29" s="17"/>
      <c r="D29" s="17"/>
      <c r="E29" s="17"/>
      <c r="F29" s="17"/>
      <c r="G29" s="17"/>
      <c r="H29" s="17"/>
      <c r="I29" s="32"/>
      <c r="J29" s="16"/>
      <c r="K29" s="16"/>
      <c r="L29" s="16"/>
      <c r="M29" s="341" t="str">
        <f t="shared" si="11"/>
        <v/>
      </c>
      <c r="N29" s="34" t="str">
        <f t="shared" si="22"/>
        <v/>
      </c>
      <c r="O29" s="287" t="str">
        <f t="shared" si="23"/>
        <v/>
      </c>
      <c r="P29" s="488"/>
      <c r="Q29" s="489"/>
      <c r="R29" s="335">
        <f t="shared" si="24"/>
        <v>0</v>
      </c>
      <c r="S29" s="336">
        <f t="shared" si="25"/>
        <v>0</v>
      </c>
      <c r="T29" s="335">
        <f t="shared" si="26"/>
        <v>0</v>
      </c>
      <c r="V29" s="335">
        <f t="shared" si="15"/>
        <v>0</v>
      </c>
      <c r="W29" s="335">
        <f t="shared" si="16"/>
        <v>0</v>
      </c>
      <c r="X29" s="335">
        <f t="shared" si="17"/>
        <v>0</v>
      </c>
      <c r="Y29" s="335" t="s">
        <v>452</v>
      </c>
      <c r="Z29" s="335" t="b">
        <f t="shared" si="18"/>
        <v>0</v>
      </c>
      <c r="AA29" s="335" t="b">
        <f t="shared" si="19"/>
        <v>1</v>
      </c>
      <c r="AB29" s="335" t="s">
        <v>495</v>
      </c>
    </row>
    <row r="30" spans="1:28" x14ac:dyDescent="0.2">
      <c r="A30" s="4">
        <v>11</v>
      </c>
      <c r="B30" s="5"/>
      <c r="C30" s="17"/>
      <c r="D30" s="17"/>
      <c r="E30" s="17"/>
      <c r="F30" s="17"/>
      <c r="G30" s="17"/>
      <c r="H30" s="17"/>
      <c r="I30" s="32"/>
      <c r="J30" s="16"/>
      <c r="K30" s="16"/>
      <c r="L30" s="16"/>
      <c r="M30" s="341" t="str">
        <f t="shared" si="11"/>
        <v/>
      </c>
      <c r="N30" s="34" t="str">
        <f t="shared" si="22"/>
        <v/>
      </c>
      <c r="O30" s="287" t="str">
        <f t="shared" si="23"/>
        <v/>
      </c>
      <c r="P30" s="488"/>
      <c r="Q30" s="489"/>
      <c r="R30" s="335">
        <f t="shared" si="24"/>
        <v>0</v>
      </c>
      <c r="S30" s="336">
        <f t="shared" si="25"/>
        <v>0</v>
      </c>
      <c r="T30" s="335">
        <f t="shared" si="26"/>
        <v>0</v>
      </c>
      <c r="V30" s="335">
        <f t="shared" si="15"/>
        <v>0</v>
      </c>
      <c r="W30" s="335">
        <f t="shared" si="16"/>
        <v>0</v>
      </c>
      <c r="X30" s="335">
        <f t="shared" si="17"/>
        <v>0</v>
      </c>
      <c r="Y30" s="335" t="s">
        <v>452</v>
      </c>
      <c r="Z30" s="335" t="b">
        <f t="shared" si="18"/>
        <v>0</v>
      </c>
      <c r="AA30" s="335" t="b">
        <f t="shared" si="19"/>
        <v>1</v>
      </c>
      <c r="AB30" s="335" t="s">
        <v>495</v>
      </c>
    </row>
    <row r="31" spans="1:28" x14ac:dyDescent="0.2">
      <c r="A31" s="4">
        <v>12</v>
      </c>
      <c r="B31" s="5"/>
      <c r="C31" s="17"/>
      <c r="D31" s="17"/>
      <c r="E31" s="17"/>
      <c r="F31" s="17"/>
      <c r="G31" s="17"/>
      <c r="H31" s="17"/>
      <c r="I31" s="32"/>
      <c r="J31" s="16"/>
      <c r="K31" s="16"/>
      <c r="L31" s="16"/>
      <c r="M31" s="341" t="str">
        <f t="shared" si="11"/>
        <v/>
      </c>
      <c r="N31" s="34" t="str">
        <f t="shared" si="22"/>
        <v/>
      </c>
      <c r="O31" s="287" t="str">
        <f t="shared" si="23"/>
        <v/>
      </c>
      <c r="P31" s="488"/>
      <c r="Q31" s="489"/>
      <c r="R31" s="335">
        <f t="shared" si="24"/>
        <v>0</v>
      </c>
      <c r="S31" s="336">
        <f t="shared" si="25"/>
        <v>0</v>
      </c>
      <c r="T31" s="335">
        <f t="shared" si="26"/>
        <v>0</v>
      </c>
      <c r="V31" s="335">
        <f t="shared" si="15"/>
        <v>0</v>
      </c>
      <c r="W31" s="335">
        <f t="shared" si="16"/>
        <v>0</v>
      </c>
      <c r="X31" s="335">
        <f t="shared" si="17"/>
        <v>0</v>
      </c>
      <c r="Y31" s="335" t="s">
        <v>452</v>
      </c>
      <c r="Z31" s="335" t="b">
        <f t="shared" si="18"/>
        <v>0</v>
      </c>
      <c r="AA31" s="335" t="b">
        <f t="shared" si="19"/>
        <v>1</v>
      </c>
      <c r="AB31" s="335" t="s">
        <v>495</v>
      </c>
    </row>
    <row r="32" spans="1:28" x14ac:dyDescent="0.2">
      <c r="A32" s="4">
        <v>13</v>
      </c>
      <c r="B32" s="57"/>
      <c r="C32" s="54"/>
      <c r="D32" s="54"/>
      <c r="E32" s="54"/>
      <c r="F32" s="54"/>
      <c r="G32" s="54"/>
      <c r="H32" s="54"/>
      <c r="I32" s="32"/>
      <c r="J32" s="16"/>
      <c r="K32" s="16"/>
      <c r="L32" s="16"/>
      <c r="M32" s="341" t="str">
        <f t="shared" si="11"/>
        <v/>
      </c>
      <c r="N32" s="39" t="str">
        <f>IF(ISBLANK(I32),"",ROUND(SUM(V32:X32),2))</f>
        <v/>
      </c>
      <c r="O32" s="286" t="str">
        <f>IF(ISBLANK(I32),"",ROUND(SUM(M32:N32),2))</f>
        <v/>
      </c>
      <c r="P32" s="488"/>
      <c r="Q32" s="489"/>
      <c r="R32" s="335">
        <f t="shared" si="24"/>
        <v>0</v>
      </c>
      <c r="S32" s="336">
        <f t="shared" si="25"/>
        <v>0</v>
      </c>
      <c r="T32" s="335">
        <f t="shared" si="26"/>
        <v>0</v>
      </c>
      <c r="V32" s="335">
        <f t="shared" si="15"/>
        <v>0</v>
      </c>
      <c r="W32" s="335">
        <f t="shared" si="16"/>
        <v>0</v>
      </c>
      <c r="X32" s="335">
        <f t="shared" si="17"/>
        <v>0</v>
      </c>
      <c r="Y32" s="335" t="s">
        <v>452</v>
      </c>
      <c r="Z32" s="335" t="b">
        <f t="shared" si="18"/>
        <v>0</v>
      </c>
      <c r="AA32" s="335" t="b">
        <f t="shared" si="19"/>
        <v>1</v>
      </c>
      <c r="AB32" s="335" t="s">
        <v>495</v>
      </c>
    </row>
    <row r="33" spans="1:28" x14ac:dyDescent="0.2">
      <c r="A33" s="4">
        <v>14</v>
      </c>
      <c r="B33" s="5"/>
      <c r="C33" s="17"/>
      <c r="D33" s="17"/>
      <c r="E33" s="17"/>
      <c r="F33" s="17"/>
      <c r="G33" s="17"/>
      <c r="H33" s="17"/>
      <c r="I33" s="32"/>
      <c r="J33" s="16"/>
      <c r="K33" s="16"/>
      <c r="L33" s="16"/>
      <c r="M33" s="341" t="str">
        <f t="shared" si="11"/>
        <v/>
      </c>
      <c r="N33" s="34" t="str">
        <f t="shared" si="22"/>
        <v/>
      </c>
      <c r="O33" s="287" t="str">
        <f t="shared" si="23"/>
        <v/>
      </c>
      <c r="P33" s="488"/>
      <c r="Q33" s="489"/>
      <c r="R33" s="335">
        <f t="shared" si="24"/>
        <v>0</v>
      </c>
      <c r="S33" s="336">
        <f t="shared" si="25"/>
        <v>0</v>
      </c>
      <c r="T33" s="335">
        <f t="shared" si="26"/>
        <v>0</v>
      </c>
      <c r="V33" s="335">
        <f t="shared" si="15"/>
        <v>0</v>
      </c>
      <c r="W33" s="335">
        <f t="shared" si="16"/>
        <v>0</v>
      </c>
      <c r="X33" s="335">
        <f t="shared" si="17"/>
        <v>0</v>
      </c>
      <c r="Y33" s="335" t="s">
        <v>452</v>
      </c>
      <c r="Z33" s="335" t="b">
        <f t="shared" si="18"/>
        <v>0</v>
      </c>
      <c r="AA33" s="335" t="b">
        <f t="shared" si="19"/>
        <v>1</v>
      </c>
      <c r="AB33" s="335" t="s">
        <v>495</v>
      </c>
    </row>
    <row r="34" spans="1:28" ht="12.75" customHeight="1" thickBot="1" x14ac:dyDescent="0.25">
      <c r="A34" s="4">
        <v>15</v>
      </c>
      <c r="B34" s="202"/>
      <c r="C34" s="22"/>
      <c r="D34" s="22"/>
      <c r="E34" s="22"/>
      <c r="F34" s="22"/>
      <c r="G34" s="206"/>
      <c r="H34" s="206"/>
      <c r="I34" s="33"/>
      <c r="J34" s="23"/>
      <c r="K34" s="23"/>
      <c r="L34" s="23"/>
      <c r="M34" s="342" t="str">
        <f t="shared" si="11"/>
        <v/>
      </c>
      <c r="N34" s="207" t="str">
        <f t="shared" si="22"/>
        <v/>
      </c>
      <c r="O34" s="323" t="str">
        <f t="shared" si="23"/>
        <v/>
      </c>
      <c r="P34" s="488"/>
      <c r="Q34" s="489"/>
      <c r="R34" s="335">
        <f t="shared" si="24"/>
        <v>0</v>
      </c>
      <c r="S34" s="336">
        <f t="shared" si="25"/>
        <v>0</v>
      </c>
      <c r="T34" s="335">
        <f t="shared" si="26"/>
        <v>0</v>
      </c>
      <c r="V34" s="335">
        <f t="shared" si="15"/>
        <v>0</v>
      </c>
      <c r="W34" s="335">
        <f t="shared" si="16"/>
        <v>0</v>
      </c>
      <c r="X34" s="335">
        <f t="shared" si="17"/>
        <v>0</v>
      </c>
      <c r="Y34" s="335" t="s">
        <v>452</v>
      </c>
      <c r="Z34" s="335" t="b">
        <f t="shared" si="18"/>
        <v>0</v>
      </c>
      <c r="AA34" s="335" t="b">
        <f t="shared" si="19"/>
        <v>1</v>
      </c>
      <c r="AB34" s="335" t="s">
        <v>495</v>
      </c>
    </row>
    <row r="35" spans="1:28" ht="13.5" thickBot="1" x14ac:dyDescent="0.25">
      <c r="B35" s="20">
        <f>COUNTIF(E20:E34,"*")</f>
        <v>0</v>
      </c>
      <c r="O35" s="324">
        <f>SUM(O20:O34)</f>
        <v>0</v>
      </c>
      <c r="P35" s="496"/>
      <c r="Q35" s="497"/>
      <c r="R35" s="335">
        <f>SUM(R20:R34)</f>
        <v>0</v>
      </c>
      <c r="S35" s="335">
        <f t="shared" ref="S35:X35" si="27">SUM(S20:S34)</f>
        <v>0</v>
      </c>
      <c r="T35" s="335">
        <f t="shared" si="27"/>
        <v>0</v>
      </c>
      <c r="V35" s="335">
        <f t="shared" si="27"/>
        <v>0</v>
      </c>
      <c r="W35" s="335">
        <f t="shared" si="27"/>
        <v>0</v>
      </c>
      <c r="X35" s="335">
        <f t="shared" si="27"/>
        <v>0</v>
      </c>
    </row>
    <row r="36" spans="1:28" x14ac:dyDescent="0.2">
      <c r="O36" s="330"/>
    </row>
    <row r="37" spans="1:28" x14ac:dyDescent="0.2">
      <c r="B37" s="516" t="s">
        <v>6</v>
      </c>
      <c r="C37" s="516"/>
      <c r="D37" s="545" t="s">
        <v>577</v>
      </c>
      <c r="E37" s="546"/>
      <c r="F37" s="546"/>
      <c r="G37" s="546"/>
      <c r="H37" s="546"/>
      <c r="I37" s="546"/>
      <c r="J37" s="546"/>
      <c r="K37" s="546"/>
      <c r="L37" s="546"/>
    </row>
    <row r="38" spans="1:28" ht="26.25" thickBot="1" x14ac:dyDescent="0.25">
      <c r="B38" s="10" t="s">
        <v>7</v>
      </c>
      <c r="C38" s="11"/>
      <c r="D38" s="11"/>
      <c r="E38" s="11"/>
      <c r="F38" s="11"/>
      <c r="G38" s="11"/>
      <c r="H38" s="404"/>
      <c r="I38" s="2" t="s">
        <v>61</v>
      </c>
      <c r="J38" s="2" t="s">
        <v>56</v>
      </c>
      <c r="K38" s="2" t="s">
        <v>57</v>
      </c>
      <c r="L38" s="2" t="s">
        <v>58</v>
      </c>
      <c r="M38" s="2" t="s">
        <v>41</v>
      </c>
      <c r="N38" s="3" t="s">
        <v>42</v>
      </c>
      <c r="O38" s="3" t="s">
        <v>38</v>
      </c>
      <c r="P38" s="492" t="s">
        <v>240</v>
      </c>
      <c r="Q38" s="492"/>
    </row>
    <row r="39" spans="1:28" x14ac:dyDescent="0.2">
      <c r="B39" s="279"/>
      <c r="C39" s="547" t="s">
        <v>538</v>
      </c>
      <c r="D39" s="548"/>
      <c r="E39" s="548"/>
      <c r="F39" s="548"/>
      <c r="G39" s="548"/>
      <c r="H39" s="548"/>
      <c r="I39" s="549"/>
      <c r="J39" s="407"/>
      <c r="K39" s="407"/>
      <c r="L39" s="407"/>
      <c r="M39" s="35" t="str">
        <f t="shared" ref="M39:M48" si="28">IF(COUNTIF($G$53:$G$67,C39)=0,"",SUMIF($G$53:$G$72,C39,$M$53:$M$72))</f>
        <v/>
      </c>
      <c r="N39" s="35" t="str">
        <f>IF(M39="","",ROUND(M39*_xlfn.XLOOKUP("Full",Ben,Per),2))</f>
        <v/>
      </c>
      <c r="O39" s="36" t="str">
        <f t="shared" ref="O39:O48" si="29">IF(M39="","",ROUND(SUM(M39:N39),2))</f>
        <v/>
      </c>
      <c r="P39" s="490"/>
      <c r="Q39" s="491"/>
    </row>
    <row r="40" spans="1:28" x14ac:dyDescent="0.2">
      <c r="B40" s="280"/>
      <c r="C40" s="499" t="s">
        <v>529</v>
      </c>
      <c r="D40" s="500"/>
      <c r="E40" s="500"/>
      <c r="F40" s="500"/>
      <c r="G40" s="500"/>
      <c r="H40" s="500"/>
      <c r="I40" s="501"/>
      <c r="J40" s="408"/>
      <c r="K40" s="408"/>
      <c r="L40" s="408"/>
      <c r="M40" s="34" t="str">
        <f t="shared" si="28"/>
        <v/>
      </c>
      <c r="N40" s="34" t="str">
        <f>IF(M40="","",ROUND(M40*_xlfn.XLOOKUP("Full",Ben,Per),2))</f>
        <v/>
      </c>
      <c r="O40" s="41" t="str">
        <f t="shared" si="29"/>
        <v/>
      </c>
      <c r="P40" s="505"/>
      <c r="Q40" s="506"/>
    </row>
    <row r="41" spans="1:28" x14ac:dyDescent="0.2">
      <c r="B41" s="280"/>
      <c r="C41" s="502" t="s">
        <v>545</v>
      </c>
      <c r="D41" s="503"/>
      <c r="E41" s="503"/>
      <c r="F41" s="503"/>
      <c r="G41" s="503"/>
      <c r="H41" s="503"/>
      <c r="I41" s="504"/>
      <c r="J41" s="408"/>
      <c r="K41" s="408"/>
      <c r="L41" s="408"/>
      <c r="M41" s="34" t="str">
        <f t="shared" si="28"/>
        <v/>
      </c>
      <c r="N41" s="34" t="str">
        <f>IF(M41="","",ROUND(M41*_xlfn.XLOOKUP("Temp",Ben,Per),2))</f>
        <v/>
      </c>
      <c r="O41" s="41" t="str">
        <f t="shared" si="29"/>
        <v/>
      </c>
      <c r="P41" s="505"/>
      <c r="Q41" s="506"/>
    </row>
    <row r="42" spans="1:28" x14ac:dyDescent="0.2">
      <c r="B42" s="280"/>
      <c r="C42" s="499" t="s">
        <v>584</v>
      </c>
      <c r="D42" s="500"/>
      <c r="E42" s="500"/>
      <c r="F42" s="500"/>
      <c r="G42" s="500"/>
      <c r="H42" s="500"/>
      <c r="I42" s="512"/>
      <c r="J42" s="409"/>
      <c r="K42" s="409"/>
      <c r="L42" s="409"/>
      <c r="M42" s="34" t="str">
        <f t="shared" si="28"/>
        <v/>
      </c>
      <c r="N42" s="39" t="str">
        <f>IF(M42="","",ROUND(M42*_xlfn.XLOOKUP("Full",Ben,Per),2))</f>
        <v/>
      </c>
      <c r="O42" s="286" t="str">
        <f t="shared" si="29"/>
        <v/>
      </c>
      <c r="P42" s="488"/>
      <c r="Q42" s="489"/>
    </row>
    <row r="43" spans="1:28" x14ac:dyDescent="0.2">
      <c r="B43" s="278"/>
      <c r="C43" s="499" t="s">
        <v>578</v>
      </c>
      <c r="D43" s="500"/>
      <c r="E43" s="500"/>
      <c r="F43" s="500"/>
      <c r="G43" s="393"/>
      <c r="H43" s="393"/>
      <c r="I43" s="172"/>
      <c r="J43" s="410"/>
      <c r="K43" s="410"/>
      <c r="L43" s="410"/>
      <c r="M43" s="34" t="str">
        <f t="shared" si="28"/>
        <v/>
      </c>
      <c r="N43" s="37" t="str">
        <f>IF(M43="","",ROUND(M43*_xlfn.XLOOKUP(I43,Grad,GradR),2))</f>
        <v/>
      </c>
      <c r="O43" s="286" t="str">
        <f t="shared" si="29"/>
        <v/>
      </c>
      <c r="P43" s="488"/>
      <c r="Q43" s="489"/>
    </row>
    <row r="44" spans="1:28" x14ac:dyDescent="0.2">
      <c r="B44" s="278"/>
      <c r="C44" s="511" t="s">
        <v>583</v>
      </c>
      <c r="D44" s="500"/>
      <c r="E44" s="500"/>
      <c r="F44" s="500"/>
      <c r="G44" s="500"/>
      <c r="H44" s="500"/>
      <c r="I44" s="501"/>
      <c r="J44" s="411"/>
      <c r="K44" s="411"/>
      <c r="L44" s="411"/>
      <c r="M44" s="34" t="str">
        <f t="shared" si="28"/>
        <v/>
      </c>
      <c r="N44" s="37" t="str">
        <f>IF(M44="","",ROUND(M44*_xlfn.XLOOKUP("Temp",Ben,Per),2))</f>
        <v/>
      </c>
      <c r="O44" s="286" t="str">
        <f t="shared" si="29"/>
        <v/>
      </c>
      <c r="P44" s="488"/>
      <c r="Q44" s="489"/>
    </row>
    <row r="45" spans="1:28" x14ac:dyDescent="0.2">
      <c r="B45" s="278"/>
      <c r="C45" s="403" t="s">
        <v>537</v>
      </c>
      <c r="D45" s="500" t="s">
        <v>585</v>
      </c>
      <c r="E45" s="500"/>
      <c r="F45" s="500"/>
      <c r="G45" s="500"/>
      <c r="H45" s="500"/>
      <c r="I45" s="501"/>
      <c r="J45" s="411"/>
      <c r="K45" s="411"/>
      <c r="L45" s="411"/>
      <c r="M45" s="34" t="str">
        <f t="shared" si="28"/>
        <v/>
      </c>
      <c r="N45" s="37" t="str">
        <f>IF(M45="","",ROUND(M45*_xlfn.XLOOKUP("Full",Ben,Per),2))</f>
        <v/>
      </c>
      <c r="O45" s="286" t="str">
        <f t="shared" si="29"/>
        <v/>
      </c>
      <c r="P45" s="488"/>
      <c r="Q45" s="489"/>
    </row>
    <row r="46" spans="1:28" x14ac:dyDescent="0.2">
      <c r="B46" s="278"/>
      <c r="C46" s="519" t="s">
        <v>445</v>
      </c>
      <c r="D46" s="520"/>
      <c r="E46" s="520"/>
      <c r="F46" s="520"/>
      <c r="G46" s="520"/>
      <c r="H46" s="520"/>
      <c r="I46" s="520"/>
      <c r="J46" s="411"/>
      <c r="K46" s="411"/>
      <c r="L46" s="411"/>
      <c r="M46" s="34" t="str">
        <f t="shared" si="28"/>
        <v/>
      </c>
      <c r="N46" s="34" t="str">
        <f>IF(M46="","",ROUND(M46*_xlfn.XLOOKUP("Temp",Ben,Per),2))</f>
        <v/>
      </c>
      <c r="O46" s="287" t="str">
        <f t="shared" si="29"/>
        <v/>
      </c>
      <c r="P46" s="488"/>
      <c r="Q46" s="489"/>
    </row>
    <row r="47" spans="1:28" x14ac:dyDescent="0.2">
      <c r="B47" s="15"/>
      <c r="C47" s="502" t="s">
        <v>407</v>
      </c>
      <c r="D47" s="523"/>
      <c r="E47" s="503" t="s">
        <v>585</v>
      </c>
      <c r="F47" s="503"/>
      <c r="G47" s="503"/>
      <c r="H47" s="503"/>
      <c r="I47" s="504"/>
      <c r="J47" s="411"/>
      <c r="K47" s="411"/>
      <c r="L47" s="411"/>
      <c r="M47" s="34" t="str">
        <f t="shared" si="28"/>
        <v/>
      </c>
      <c r="N47" s="34" t="str">
        <f>IF(M47="","",ROUND(M47*_xlfn.XLOOKUP("Temp",Ben,Per),2))</f>
        <v/>
      </c>
      <c r="O47" s="287" t="str">
        <f t="shared" si="29"/>
        <v/>
      </c>
      <c r="P47" s="488"/>
      <c r="Q47" s="489"/>
    </row>
    <row r="48" spans="1:28" ht="13.5" thickBot="1" x14ac:dyDescent="0.25">
      <c r="B48" s="189"/>
      <c r="C48" s="521" t="s">
        <v>408</v>
      </c>
      <c r="D48" s="522"/>
      <c r="E48" s="522"/>
      <c r="F48" s="522"/>
      <c r="G48" s="522"/>
      <c r="H48" s="522"/>
      <c r="I48" s="522"/>
      <c r="J48" s="412"/>
      <c r="K48" s="412"/>
      <c r="L48" s="412"/>
      <c r="M48" s="42" t="str">
        <f t="shared" si="28"/>
        <v/>
      </c>
      <c r="N48" s="42" t="str">
        <f>IF(M48="","",ROUND(M48*_xlfn.XLOOKUP("Adjunct",Ben,Per),2))</f>
        <v/>
      </c>
      <c r="O48" s="288" t="str">
        <f t="shared" si="29"/>
        <v/>
      </c>
      <c r="P48" s="488"/>
      <c r="Q48" s="489"/>
    </row>
    <row r="49" spans="1:24" ht="13.5" thickBot="1" x14ac:dyDescent="0.25">
      <c r="B49" s="20">
        <f>SUM(B39:B46)</f>
        <v>0</v>
      </c>
      <c r="C49" s="515" t="s">
        <v>8</v>
      </c>
      <c r="D49" s="516"/>
      <c r="E49" s="516"/>
      <c r="F49" s="516"/>
      <c r="J49" s="513" t="s">
        <v>9</v>
      </c>
      <c r="K49" s="517"/>
      <c r="L49" s="517"/>
      <c r="M49" s="517"/>
      <c r="N49" s="518"/>
      <c r="O49" s="327">
        <f>ROUND(SUM(O39:O48),2)</f>
        <v>0</v>
      </c>
      <c r="P49" s="511"/>
      <c r="Q49" s="464"/>
    </row>
    <row r="50" spans="1:24" ht="13.5" thickBot="1" x14ac:dyDescent="0.25">
      <c r="B50" s="400"/>
      <c r="C50" s="400"/>
      <c r="D50" s="400"/>
      <c r="E50" s="400"/>
      <c r="F50" s="400"/>
      <c r="G50" s="400"/>
      <c r="H50" s="400"/>
      <c r="I50" s="8"/>
      <c r="J50" s="513" t="s">
        <v>10</v>
      </c>
      <c r="K50" s="513"/>
      <c r="L50" s="513"/>
      <c r="M50" s="513"/>
      <c r="N50" s="514"/>
      <c r="O50" s="326">
        <f>ROUND(SUM(O16,O49),2)</f>
        <v>0</v>
      </c>
      <c r="P50" s="496"/>
      <c r="Q50" s="497"/>
    </row>
    <row r="51" spans="1:24" x14ac:dyDescent="0.2">
      <c r="B51" s="498" t="s">
        <v>525</v>
      </c>
      <c r="C51" s="498"/>
      <c r="D51" s="498"/>
    </row>
    <row r="52" spans="1:24" ht="26.25" thickBot="1" x14ac:dyDescent="0.25">
      <c r="B52" s="2" t="s">
        <v>0</v>
      </c>
      <c r="C52" s="2" t="s">
        <v>1</v>
      </c>
      <c r="D52" s="2" t="s">
        <v>2</v>
      </c>
      <c r="E52" s="2" t="s">
        <v>3</v>
      </c>
      <c r="F52" s="2" t="s">
        <v>4</v>
      </c>
      <c r="G52" s="524" t="s">
        <v>39</v>
      </c>
      <c r="H52" s="524"/>
      <c r="I52" s="524"/>
      <c r="J52" s="3" t="s">
        <v>56</v>
      </c>
      <c r="K52" s="3" t="s">
        <v>57</v>
      </c>
      <c r="L52" s="2" t="s">
        <v>58</v>
      </c>
      <c r="M52" s="3" t="s">
        <v>41</v>
      </c>
      <c r="N52" s="2" t="s">
        <v>42</v>
      </c>
      <c r="O52" s="2" t="s">
        <v>38</v>
      </c>
      <c r="P52" s="493" t="s">
        <v>240</v>
      </c>
      <c r="Q52" s="493"/>
      <c r="R52" s="334"/>
      <c r="S52" s="334"/>
      <c r="T52" s="334"/>
      <c r="V52" s="334"/>
      <c r="W52" s="334"/>
      <c r="X52" s="334"/>
    </row>
    <row r="53" spans="1:24" x14ac:dyDescent="0.2">
      <c r="A53" s="4">
        <v>1</v>
      </c>
      <c r="B53" s="21"/>
      <c r="C53" s="329"/>
      <c r="D53" s="13"/>
      <c r="E53" s="329"/>
      <c r="F53" s="13"/>
      <c r="G53" s="507"/>
      <c r="H53" s="508"/>
      <c r="I53" s="509"/>
      <c r="J53" s="205"/>
      <c r="K53" s="205"/>
      <c r="L53" s="205"/>
      <c r="M53" s="405"/>
      <c r="N53" s="35" t="str">
        <f>IF(ISBLANK(M53),"",ROUND(M53*IF(G53="Graduate Assistants", _xlfn.XLOOKUP($I$43,Grad,GradR),_xlfn.XLOOKUP("*"&amp;G53&amp;"*",BenB,Per,,2)),2))</f>
        <v/>
      </c>
      <c r="O53" s="36" t="str">
        <f t="shared" ref="O53:O72" si="30">IF(ISBLANK(M53),"",ROUND(SUM(M53:N53),2))</f>
        <v/>
      </c>
      <c r="P53" s="494"/>
      <c r="Q53" s="495"/>
      <c r="S53" s="336"/>
    </row>
    <row r="54" spans="1:24" x14ac:dyDescent="0.2">
      <c r="A54" s="4">
        <v>2</v>
      </c>
      <c r="B54" s="5"/>
      <c r="C54" s="417"/>
      <c r="D54" s="17"/>
      <c r="E54" s="211"/>
      <c r="F54" s="17"/>
      <c r="G54" s="483"/>
      <c r="H54" s="484"/>
      <c r="I54" s="485"/>
      <c r="J54" s="16"/>
      <c r="K54" s="16"/>
      <c r="L54" s="16"/>
      <c r="M54" s="405"/>
      <c r="N54" s="34" t="str">
        <f>IF(ISBLANK(M54),"",ROUND(M54*IF(G54="Graduate Assistants", _xlfn.XLOOKUP($I$43,Grad,GradR),_xlfn.XLOOKUP("*"&amp;G54&amp;"*",BenB,Per,,2)),2))</f>
        <v/>
      </c>
      <c r="O54" s="40" t="str">
        <f t="shared" si="30"/>
        <v/>
      </c>
      <c r="P54" s="488"/>
      <c r="Q54" s="489"/>
      <c r="S54" s="336"/>
    </row>
    <row r="55" spans="1:24" x14ac:dyDescent="0.2">
      <c r="A55" s="4">
        <v>3</v>
      </c>
      <c r="B55" s="5"/>
      <c r="C55" s="17"/>
      <c r="D55" s="17"/>
      <c r="E55" s="17"/>
      <c r="F55" s="17"/>
      <c r="G55" s="483"/>
      <c r="H55" s="484"/>
      <c r="I55" s="485"/>
      <c r="J55" s="16"/>
      <c r="K55" s="16"/>
      <c r="L55" s="16"/>
      <c r="M55" s="405"/>
      <c r="N55" s="34" t="str">
        <f t="shared" ref="N55:N72" si="31">IF(ISBLANK(M55),"",ROUND(M55*IF(G55="Graduate Assistants", _xlfn.XLOOKUP($I$43,Grad,GradR),_xlfn.XLOOKUP("*"&amp;G55&amp;"*",BenB,Per,,2)),2))</f>
        <v/>
      </c>
      <c r="O55" s="40" t="str">
        <f t="shared" si="30"/>
        <v/>
      </c>
      <c r="P55" s="488"/>
      <c r="Q55" s="489"/>
      <c r="S55" s="336"/>
    </row>
    <row r="56" spans="1:24" x14ac:dyDescent="0.2">
      <c r="A56" s="4">
        <v>4</v>
      </c>
      <c r="B56" s="5"/>
      <c r="C56" s="17"/>
      <c r="D56" s="17"/>
      <c r="E56" s="17"/>
      <c r="F56" s="17"/>
      <c r="G56" s="483"/>
      <c r="H56" s="484"/>
      <c r="I56" s="485"/>
      <c r="J56" s="16"/>
      <c r="K56" s="16"/>
      <c r="L56" s="16"/>
      <c r="M56" s="405"/>
      <c r="N56" s="34" t="str">
        <f t="shared" si="31"/>
        <v/>
      </c>
      <c r="O56" s="40" t="str">
        <f t="shared" si="30"/>
        <v/>
      </c>
      <c r="P56" s="488"/>
      <c r="Q56" s="489"/>
      <c r="S56" s="336"/>
    </row>
    <row r="57" spans="1:24" x14ac:dyDescent="0.2">
      <c r="A57" s="4">
        <v>5</v>
      </c>
      <c r="B57" s="5"/>
      <c r="C57" s="17"/>
      <c r="D57" s="17"/>
      <c r="E57" s="17"/>
      <c r="F57" s="17"/>
      <c r="G57" s="483"/>
      <c r="H57" s="484"/>
      <c r="I57" s="485"/>
      <c r="J57" s="16"/>
      <c r="K57" s="16"/>
      <c r="L57" s="16"/>
      <c r="M57" s="405"/>
      <c r="N57" s="34" t="str">
        <f t="shared" si="31"/>
        <v/>
      </c>
      <c r="O57" s="40" t="str">
        <f t="shared" si="30"/>
        <v/>
      </c>
      <c r="P57" s="488"/>
      <c r="Q57" s="489"/>
      <c r="S57" s="336"/>
    </row>
    <row r="58" spans="1:24" x14ac:dyDescent="0.2">
      <c r="A58" s="4">
        <v>6</v>
      </c>
      <c r="B58" s="5"/>
      <c r="C58" s="17"/>
      <c r="D58" s="17"/>
      <c r="E58" s="17"/>
      <c r="F58" s="17"/>
      <c r="G58" s="483"/>
      <c r="H58" s="484"/>
      <c r="I58" s="485"/>
      <c r="J58" s="16"/>
      <c r="K58" s="16"/>
      <c r="L58" s="16"/>
      <c r="M58" s="405"/>
      <c r="N58" s="34" t="str">
        <f t="shared" si="31"/>
        <v/>
      </c>
      <c r="O58" s="40" t="str">
        <f t="shared" si="30"/>
        <v/>
      </c>
      <c r="P58" s="488"/>
      <c r="Q58" s="489"/>
      <c r="S58" s="336"/>
    </row>
    <row r="59" spans="1:24" x14ac:dyDescent="0.2">
      <c r="A59" s="4">
        <v>7</v>
      </c>
      <c r="B59" s="5"/>
      <c r="C59" s="17"/>
      <c r="D59" s="17"/>
      <c r="E59" s="17"/>
      <c r="F59" s="17"/>
      <c r="G59" s="483"/>
      <c r="H59" s="484"/>
      <c r="I59" s="485"/>
      <c r="J59" s="16"/>
      <c r="K59" s="16"/>
      <c r="L59" s="16"/>
      <c r="M59" s="405"/>
      <c r="N59" s="34" t="str">
        <f t="shared" si="31"/>
        <v/>
      </c>
      <c r="O59" s="40" t="str">
        <f t="shared" si="30"/>
        <v/>
      </c>
      <c r="P59" s="488"/>
      <c r="Q59" s="489"/>
      <c r="S59" s="336"/>
    </row>
    <row r="60" spans="1:24" x14ac:dyDescent="0.2">
      <c r="A60" s="4">
        <v>8</v>
      </c>
      <c r="B60" s="57"/>
      <c r="C60" s="54"/>
      <c r="D60" s="54"/>
      <c r="E60" s="54"/>
      <c r="F60" s="54"/>
      <c r="G60" s="483"/>
      <c r="H60" s="484"/>
      <c r="I60" s="485"/>
      <c r="J60" s="16"/>
      <c r="K60" s="16"/>
      <c r="L60" s="16"/>
      <c r="M60" s="405"/>
      <c r="N60" s="34" t="str">
        <f t="shared" si="31"/>
        <v/>
      </c>
      <c r="O60" s="40" t="str">
        <f t="shared" si="30"/>
        <v/>
      </c>
      <c r="P60" s="488"/>
      <c r="Q60" s="489"/>
      <c r="S60" s="336"/>
    </row>
    <row r="61" spans="1:24" x14ac:dyDescent="0.2">
      <c r="A61" s="4">
        <v>9</v>
      </c>
      <c r="B61" s="5"/>
      <c r="C61" s="17"/>
      <c r="D61" s="17"/>
      <c r="E61" s="17"/>
      <c r="F61" s="17"/>
      <c r="G61" s="483"/>
      <c r="H61" s="484"/>
      <c r="I61" s="485"/>
      <c r="J61" s="16"/>
      <c r="K61" s="16"/>
      <c r="L61" s="16"/>
      <c r="M61" s="405"/>
      <c r="N61" s="34" t="str">
        <f t="shared" si="31"/>
        <v/>
      </c>
      <c r="O61" s="40" t="str">
        <f t="shared" si="30"/>
        <v/>
      </c>
      <c r="P61" s="488"/>
      <c r="Q61" s="489"/>
      <c r="S61" s="336"/>
    </row>
    <row r="62" spans="1:24" x14ac:dyDescent="0.2">
      <c r="A62" s="4">
        <v>10</v>
      </c>
      <c r="B62" s="5"/>
      <c r="C62" s="17"/>
      <c r="D62" s="17"/>
      <c r="E62" s="17"/>
      <c r="F62" s="17"/>
      <c r="G62" s="483"/>
      <c r="H62" s="484"/>
      <c r="I62" s="485"/>
      <c r="J62" s="16"/>
      <c r="K62" s="16"/>
      <c r="L62" s="16"/>
      <c r="M62" s="405"/>
      <c r="N62" s="34" t="str">
        <f t="shared" si="31"/>
        <v/>
      </c>
      <c r="O62" s="40" t="str">
        <f t="shared" si="30"/>
        <v/>
      </c>
      <c r="P62" s="488"/>
      <c r="Q62" s="489"/>
      <c r="S62" s="336"/>
    </row>
    <row r="63" spans="1:24" x14ac:dyDescent="0.2">
      <c r="A63" s="4">
        <v>11</v>
      </c>
      <c r="B63" s="5"/>
      <c r="C63" s="17"/>
      <c r="D63" s="17"/>
      <c r="E63" s="17"/>
      <c r="F63" s="17"/>
      <c r="G63" s="483"/>
      <c r="H63" s="484"/>
      <c r="I63" s="485"/>
      <c r="J63" s="16"/>
      <c r="K63" s="16"/>
      <c r="L63" s="16"/>
      <c r="M63" s="405"/>
      <c r="N63" s="34" t="str">
        <f t="shared" si="31"/>
        <v/>
      </c>
      <c r="O63" s="40" t="str">
        <f t="shared" si="30"/>
        <v/>
      </c>
      <c r="P63" s="488"/>
      <c r="Q63" s="489"/>
      <c r="S63" s="336"/>
    </row>
    <row r="64" spans="1:24" x14ac:dyDescent="0.2">
      <c r="A64" s="4">
        <v>12</v>
      </c>
      <c r="B64" s="5"/>
      <c r="C64" s="17"/>
      <c r="D64" s="17"/>
      <c r="E64" s="17"/>
      <c r="F64" s="17"/>
      <c r="G64" s="483"/>
      <c r="H64" s="484"/>
      <c r="I64" s="485"/>
      <c r="J64" s="16"/>
      <c r="K64" s="16"/>
      <c r="L64" s="16"/>
      <c r="M64" s="405"/>
      <c r="N64" s="34" t="str">
        <f t="shared" si="31"/>
        <v/>
      </c>
      <c r="O64" s="40" t="str">
        <f t="shared" si="30"/>
        <v/>
      </c>
      <c r="P64" s="488"/>
      <c r="Q64" s="489"/>
      <c r="S64" s="336"/>
    </row>
    <row r="65" spans="1:19" x14ac:dyDescent="0.2">
      <c r="A65" s="4">
        <v>13</v>
      </c>
      <c r="B65" s="57"/>
      <c r="C65" s="54"/>
      <c r="D65" s="54"/>
      <c r="E65" s="54"/>
      <c r="F65" s="54"/>
      <c r="G65" s="483"/>
      <c r="H65" s="484"/>
      <c r="I65" s="485"/>
      <c r="J65" s="16"/>
      <c r="K65" s="16"/>
      <c r="L65" s="16"/>
      <c r="M65" s="405"/>
      <c r="N65" s="34" t="str">
        <f t="shared" si="31"/>
        <v/>
      </c>
      <c r="O65" s="40" t="str">
        <f t="shared" si="30"/>
        <v/>
      </c>
      <c r="P65" s="488"/>
      <c r="Q65" s="489"/>
      <c r="S65" s="336"/>
    </row>
    <row r="66" spans="1:19" x14ac:dyDescent="0.2">
      <c r="A66" s="4">
        <v>14</v>
      </c>
      <c r="B66" s="5"/>
      <c r="C66" s="17"/>
      <c r="D66" s="17"/>
      <c r="E66" s="17"/>
      <c r="F66" s="17"/>
      <c r="G66" s="483"/>
      <c r="H66" s="484"/>
      <c r="I66" s="485"/>
      <c r="J66" s="16"/>
      <c r="K66" s="16"/>
      <c r="L66" s="16"/>
      <c r="M66" s="405"/>
      <c r="N66" s="34" t="str">
        <f t="shared" si="31"/>
        <v/>
      </c>
      <c r="O66" s="40" t="str">
        <f t="shared" si="30"/>
        <v/>
      </c>
      <c r="P66" s="488"/>
      <c r="Q66" s="489"/>
      <c r="S66" s="336"/>
    </row>
    <row r="67" spans="1:19" x14ac:dyDescent="0.2">
      <c r="A67" s="4">
        <v>15</v>
      </c>
      <c r="B67" s="5"/>
      <c r="C67" s="17"/>
      <c r="D67" s="17"/>
      <c r="E67" s="17"/>
      <c r="F67" s="17"/>
      <c r="G67" s="483"/>
      <c r="H67" s="484"/>
      <c r="I67" s="485"/>
      <c r="J67" s="16"/>
      <c r="K67" s="16"/>
      <c r="L67" s="16"/>
      <c r="M67" s="43"/>
      <c r="N67" s="34" t="str">
        <f t="shared" si="31"/>
        <v/>
      </c>
      <c r="O67" s="41" t="str">
        <f t="shared" si="30"/>
        <v/>
      </c>
      <c r="P67" s="488"/>
      <c r="Q67" s="489"/>
      <c r="S67" s="336"/>
    </row>
    <row r="68" spans="1:19" x14ac:dyDescent="0.2">
      <c r="A68" s="4">
        <v>16</v>
      </c>
      <c r="B68" s="5"/>
      <c r="C68" s="17"/>
      <c r="D68" s="17"/>
      <c r="E68" s="17"/>
      <c r="F68" s="17"/>
      <c r="G68" s="483"/>
      <c r="H68" s="484"/>
      <c r="I68" s="485"/>
      <c r="J68" s="16"/>
      <c r="K68" s="16"/>
      <c r="L68" s="16"/>
      <c r="M68" s="43"/>
      <c r="N68" s="34" t="str">
        <f t="shared" si="31"/>
        <v/>
      </c>
      <c r="O68" s="41" t="str">
        <f t="shared" si="30"/>
        <v/>
      </c>
      <c r="P68" s="486"/>
      <c r="Q68" s="487"/>
      <c r="S68" s="336"/>
    </row>
    <row r="69" spans="1:19" x14ac:dyDescent="0.2">
      <c r="A69" s="4">
        <v>17</v>
      </c>
      <c r="B69" s="5"/>
      <c r="C69" s="17"/>
      <c r="D69" s="17"/>
      <c r="E69" s="17"/>
      <c r="F69" s="17"/>
      <c r="G69" s="483"/>
      <c r="H69" s="484"/>
      <c r="I69" s="485"/>
      <c r="J69" s="16"/>
      <c r="K69" s="16"/>
      <c r="L69" s="16"/>
      <c r="M69" s="43"/>
      <c r="N69" s="34" t="str">
        <f t="shared" si="31"/>
        <v/>
      </c>
      <c r="O69" s="41" t="str">
        <f t="shared" si="30"/>
        <v/>
      </c>
      <c r="P69" s="486"/>
      <c r="Q69" s="487"/>
      <c r="S69" s="336"/>
    </row>
    <row r="70" spans="1:19" x14ac:dyDescent="0.2">
      <c r="A70" s="4">
        <v>18</v>
      </c>
      <c r="B70" s="5"/>
      <c r="C70" s="17"/>
      <c r="D70" s="17"/>
      <c r="E70" s="17"/>
      <c r="F70" s="17"/>
      <c r="G70" s="483"/>
      <c r="H70" s="484"/>
      <c r="I70" s="485"/>
      <c r="J70" s="16"/>
      <c r="K70" s="16"/>
      <c r="L70" s="16"/>
      <c r="M70" s="43"/>
      <c r="N70" s="34" t="str">
        <f t="shared" si="31"/>
        <v/>
      </c>
      <c r="O70" s="41" t="str">
        <f t="shared" si="30"/>
        <v/>
      </c>
      <c r="P70" s="486"/>
      <c r="Q70" s="487"/>
      <c r="S70" s="336"/>
    </row>
    <row r="71" spans="1:19" x14ac:dyDescent="0.2">
      <c r="A71" s="4">
        <v>19</v>
      </c>
      <c r="B71" s="5"/>
      <c r="C71" s="17"/>
      <c r="D71" s="17"/>
      <c r="E71" s="17"/>
      <c r="F71" s="17"/>
      <c r="G71" s="483"/>
      <c r="H71" s="484"/>
      <c r="I71" s="485"/>
      <c r="J71" s="16"/>
      <c r="K71" s="16"/>
      <c r="L71" s="16"/>
      <c r="M71" s="43"/>
      <c r="N71" s="34" t="str">
        <f t="shared" si="31"/>
        <v/>
      </c>
      <c r="O71" s="41" t="str">
        <f t="shared" si="30"/>
        <v/>
      </c>
      <c r="P71" s="486"/>
      <c r="Q71" s="487"/>
      <c r="S71" s="336"/>
    </row>
    <row r="72" spans="1:19" ht="13.5" thickBot="1" x14ac:dyDescent="0.25">
      <c r="A72" s="4">
        <v>20</v>
      </c>
      <c r="B72" s="202"/>
      <c r="C72" s="22"/>
      <c r="D72" s="22"/>
      <c r="E72" s="22"/>
      <c r="F72" s="22"/>
      <c r="G72" s="550"/>
      <c r="H72" s="551"/>
      <c r="I72" s="552"/>
      <c r="J72" s="23"/>
      <c r="K72" s="23"/>
      <c r="L72" s="23"/>
      <c r="M72" s="44"/>
      <c r="N72" s="42" t="str">
        <f t="shared" si="31"/>
        <v/>
      </c>
      <c r="O72" s="41" t="str">
        <f t="shared" si="30"/>
        <v/>
      </c>
      <c r="P72" s="486"/>
      <c r="Q72" s="487"/>
      <c r="S72" s="336"/>
    </row>
    <row r="73" spans="1:19" ht="13.5" thickBot="1" x14ac:dyDescent="0.25">
      <c r="B73" s="406">
        <f>COUNTIF(E53:E67,"*")</f>
        <v>0</v>
      </c>
      <c r="O73" s="327">
        <f>SUM(O53:O72)</f>
        <v>0</v>
      </c>
      <c r="P73" s="496"/>
      <c r="Q73" s="497"/>
    </row>
    <row r="76" spans="1:19" ht="13.5" thickBot="1" x14ac:dyDescent="0.25">
      <c r="B76" s="400"/>
      <c r="C76" s="400"/>
      <c r="D76" s="400"/>
      <c r="E76" s="400"/>
      <c r="F76" s="400"/>
      <c r="G76" s="400"/>
      <c r="H76" s="400"/>
      <c r="I76" s="8"/>
      <c r="J76" s="9"/>
      <c r="K76" s="9"/>
      <c r="L76" s="9"/>
      <c r="M76" s="9"/>
      <c r="N76" s="9"/>
      <c r="O76" s="330"/>
    </row>
    <row r="77" spans="1:19" ht="12.75" customHeight="1" x14ac:dyDescent="0.2">
      <c r="B77" s="400"/>
      <c r="C77" s="400"/>
      <c r="D77" s="400"/>
      <c r="E77" s="400"/>
      <c r="F77" s="400"/>
      <c r="G77" s="400"/>
      <c r="H77" s="400"/>
      <c r="I77" s="533" t="s">
        <v>225</v>
      </c>
      <c r="J77" s="534"/>
      <c r="K77" s="534"/>
      <c r="L77" s="534"/>
      <c r="M77" s="535"/>
    </row>
    <row r="78" spans="1:19" ht="12.75" customHeight="1" thickBot="1" x14ac:dyDescent="0.25">
      <c r="B78" s="400"/>
      <c r="C78" s="400"/>
      <c r="D78" s="400"/>
      <c r="E78" s="400"/>
      <c r="F78" s="400"/>
      <c r="G78" s="400"/>
      <c r="H78" s="400"/>
      <c r="I78" s="536"/>
      <c r="J78" s="537"/>
      <c r="K78" s="537"/>
      <c r="L78" s="537"/>
      <c r="M78" s="538"/>
    </row>
    <row r="79" spans="1:19" ht="12.75" customHeight="1" x14ac:dyDescent="0.2">
      <c r="B79" s="400"/>
      <c r="C79" s="400"/>
      <c r="D79" s="400"/>
      <c r="E79" s="400"/>
      <c r="F79" s="400"/>
      <c r="G79" s="400"/>
      <c r="H79" s="400"/>
      <c r="I79" s="525" t="s">
        <v>230</v>
      </c>
      <c r="J79" s="526"/>
      <c r="K79" s="526"/>
      <c r="L79" s="526"/>
      <c r="M79" s="527"/>
      <c r="Q79" s="58"/>
    </row>
    <row r="80" spans="1:19" ht="12.75" customHeight="1" x14ac:dyDescent="0.2">
      <c r="B80" s="400"/>
      <c r="C80" s="400"/>
      <c r="D80" s="400"/>
      <c r="E80" s="400"/>
      <c r="F80" s="400"/>
      <c r="G80" s="400"/>
      <c r="H80" s="400"/>
      <c r="I80" s="528"/>
      <c r="J80" s="472"/>
      <c r="K80" s="472"/>
      <c r="L80" s="472"/>
      <c r="M80" s="529"/>
    </row>
    <row r="81" spans="2:13" ht="12.75" customHeight="1" x14ac:dyDescent="0.2">
      <c r="B81" s="400"/>
      <c r="C81" s="400"/>
      <c r="D81" s="400"/>
      <c r="E81" s="400"/>
      <c r="F81" s="400"/>
      <c r="G81" s="400"/>
      <c r="H81" s="400"/>
      <c r="I81" s="528"/>
      <c r="J81" s="472"/>
      <c r="K81" s="472"/>
      <c r="L81" s="472"/>
      <c r="M81" s="529"/>
    </row>
    <row r="82" spans="2:13" ht="12.75" customHeight="1" x14ac:dyDescent="0.2">
      <c r="B82" s="400"/>
      <c r="C82" s="400"/>
      <c r="D82" s="400"/>
      <c r="E82" s="400"/>
      <c r="F82" s="400"/>
      <c r="G82" s="400"/>
      <c r="H82" s="400"/>
      <c r="I82" s="528"/>
      <c r="J82" s="472"/>
      <c r="K82" s="472"/>
      <c r="L82" s="472"/>
      <c r="M82" s="529"/>
    </row>
    <row r="83" spans="2:13" ht="13.5" thickBot="1" x14ac:dyDescent="0.25">
      <c r="B83" s="400"/>
      <c r="C83" s="400"/>
      <c r="D83" s="400"/>
      <c r="E83" s="400"/>
      <c r="F83" s="400"/>
      <c r="G83" s="400"/>
      <c r="H83" s="400"/>
      <c r="I83" s="530"/>
      <c r="J83" s="531"/>
      <c r="K83" s="531"/>
      <c r="L83" s="531"/>
      <c r="M83" s="532"/>
    </row>
    <row r="84" spans="2:13" ht="12.75" customHeight="1" thickBot="1" x14ac:dyDescent="0.25">
      <c r="B84" s="400"/>
      <c r="C84" s="400"/>
      <c r="D84" s="400"/>
      <c r="E84" s="400"/>
      <c r="F84" s="400"/>
      <c r="G84" s="400"/>
      <c r="H84" s="400"/>
      <c r="I84" s="200" t="s">
        <v>226</v>
      </c>
      <c r="J84" s="193"/>
      <c r="K84" s="199" t="s">
        <v>227</v>
      </c>
      <c r="L84" s="199" t="s">
        <v>228</v>
      </c>
      <c r="M84" s="198" t="s">
        <v>229</v>
      </c>
    </row>
    <row r="85" spans="2:13" ht="12.75" customHeight="1" thickBot="1" x14ac:dyDescent="0.25">
      <c r="B85" s="400"/>
      <c r="C85" s="400"/>
      <c r="D85" s="400"/>
      <c r="E85" s="400"/>
      <c r="F85" s="400"/>
      <c r="G85" s="400"/>
      <c r="H85" s="400"/>
      <c r="I85" s="194">
        <v>0</v>
      </c>
      <c r="J85" s="195"/>
      <c r="K85" s="196">
        <f>I85*12</f>
        <v>0</v>
      </c>
      <c r="L85" s="196">
        <f>I85*8.5</f>
        <v>0</v>
      </c>
      <c r="M85" s="197">
        <f>I85*3.5</f>
        <v>0</v>
      </c>
    </row>
  </sheetData>
  <sheetProtection algorithmName="SHA-512" hashValue="MWWAn82eiIBESkNLu7dLWu+Tu5Ws0CFxXgQ2uVEAzScN6Huc/4fuQabHMF6hQRm7RpG+81jwCzLuZqIAIglp9Q==" saltValue="3fWHx3atodceDqnB6z/I4g==" spinCount="100000" sheet="1" objects="1" scenarios="1"/>
  <dataConsolidate/>
  <mergeCells count="115">
    <mergeCell ref="P26:Q26"/>
    <mergeCell ref="P25:Q25"/>
    <mergeCell ref="P34:Q34"/>
    <mergeCell ref="P33:Q33"/>
    <mergeCell ref="G52:I52"/>
    <mergeCell ref="I79:M83"/>
    <mergeCell ref="I77:M78"/>
    <mergeCell ref="A3:O3"/>
    <mergeCell ref="A1:O1"/>
    <mergeCell ref="B5:C5"/>
    <mergeCell ref="C15:F15"/>
    <mergeCell ref="K4:L4"/>
    <mergeCell ref="M5:N5"/>
    <mergeCell ref="M4:N4"/>
    <mergeCell ref="C16:F16"/>
    <mergeCell ref="K16:N16"/>
    <mergeCell ref="G15:N15"/>
    <mergeCell ref="B37:C37"/>
    <mergeCell ref="D37:L37"/>
    <mergeCell ref="C39:I39"/>
    <mergeCell ref="G54:I54"/>
    <mergeCell ref="D45:I45"/>
    <mergeCell ref="G72:I72"/>
    <mergeCell ref="G71:I71"/>
    <mergeCell ref="P49:Q49"/>
    <mergeCell ref="C44:I44"/>
    <mergeCell ref="C42:I42"/>
    <mergeCell ref="J50:N50"/>
    <mergeCell ref="C49:F49"/>
    <mergeCell ref="J49:N49"/>
    <mergeCell ref="C46:I46"/>
    <mergeCell ref="C48:I48"/>
    <mergeCell ref="C43:F43"/>
    <mergeCell ref="P50:Q50"/>
    <mergeCell ref="P48:Q48"/>
    <mergeCell ref="P47:Q47"/>
    <mergeCell ref="P46:Q46"/>
    <mergeCell ref="P45:Q45"/>
    <mergeCell ref="P44:Q44"/>
    <mergeCell ref="P43:Q43"/>
    <mergeCell ref="P42:Q42"/>
    <mergeCell ref="C47:D47"/>
    <mergeCell ref="E47:I47"/>
    <mergeCell ref="P32:Q32"/>
    <mergeCell ref="P31:Q31"/>
    <mergeCell ref="P30:Q30"/>
    <mergeCell ref="B4:I4"/>
    <mergeCell ref="P35:Q35"/>
    <mergeCell ref="P13:Q13"/>
    <mergeCell ref="P12:Q12"/>
    <mergeCell ref="P11:Q11"/>
    <mergeCell ref="P10:Q10"/>
    <mergeCell ref="P9:Q9"/>
    <mergeCell ref="P6:Q6"/>
    <mergeCell ref="P8:Q8"/>
    <mergeCell ref="P7:Q7"/>
    <mergeCell ref="P24:Q24"/>
    <mergeCell ref="P23:Q23"/>
    <mergeCell ref="P22:Q22"/>
    <mergeCell ref="P19:Q19"/>
    <mergeCell ref="P16:Q16"/>
    <mergeCell ref="P15:Q15"/>
    <mergeCell ref="P14:Q14"/>
    <mergeCell ref="B18:D18"/>
    <mergeCell ref="P29:Q29"/>
    <mergeCell ref="P28:Q28"/>
    <mergeCell ref="P27:Q27"/>
    <mergeCell ref="P39:Q39"/>
    <mergeCell ref="P38:Q38"/>
    <mergeCell ref="P52:Q52"/>
    <mergeCell ref="P53:Q53"/>
    <mergeCell ref="P54:Q54"/>
    <mergeCell ref="P21:Q21"/>
    <mergeCell ref="P20:Q20"/>
    <mergeCell ref="P73:Q73"/>
    <mergeCell ref="B51:D51"/>
    <mergeCell ref="C40:I40"/>
    <mergeCell ref="C41:I41"/>
    <mergeCell ref="P41:Q41"/>
    <mergeCell ref="P40:Q40"/>
    <mergeCell ref="G53:I53"/>
    <mergeCell ref="G67:I67"/>
    <mergeCell ref="G66:I66"/>
    <mergeCell ref="G65:I65"/>
    <mergeCell ref="G64:I64"/>
    <mergeCell ref="G63:I63"/>
    <mergeCell ref="G62:I62"/>
    <mergeCell ref="G61:I61"/>
    <mergeCell ref="G60:I60"/>
    <mergeCell ref="P62:Q62"/>
    <mergeCell ref="P63:Q63"/>
    <mergeCell ref="P57:Q57"/>
    <mergeCell ref="P58:Q58"/>
    <mergeCell ref="P64:Q64"/>
    <mergeCell ref="P65:Q65"/>
    <mergeCell ref="G57:I57"/>
    <mergeCell ref="G56:I56"/>
    <mergeCell ref="G55:I55"/>
    <mergeCell ref="P55:Q55"/>
    <mergeCell ref="P56:Q56"/>
    <mergeCell ref="P59:Q59"/>
    <mergeCell ref="P60:Q60"/>
    <mergeCell ref="G58:I58"/>
    <mergeCell ref="G70:I70"/>
    <mergeCell ref="G69:I69"/>
    <mergeCell ref="G68:I68"/>
    <mergeCell ref="G59:I59"/>
    <mergeCell ref="P72:Q72"/>
    <mergeCell ref="P71:Q71"/>
    <mergeCell ref="P70:Q70"/>
    <mergeCell ref="P69:Q69"/>
    <mergeCell ref="P68:Q68"/>
    <mergeCell ref="P67:Q67"/>
    <mergeCell ref="P61:Q61"/>
    <mergeCell ref="P66:Q66"/>
  </mergeCells>
  <phoneticPr fontId="5" type="noConversion"/>
  <conditionalFormatting sqref="I5 K5 G7:H7">
    <cfRule type="cellIs" dxfId="36" priority="39" stopIfTrue="1" operator="lessThan">
      <formula>1</formula>
    </cfRule>
  </conditionalFormatting>
  <conditionalFormatting sqref="I7 C7 E7">
    <cfRule type="cellIs" dxfId="35" priority="37" stopIfTrue="1" operator="lessThanOrEqual">
      <formula>0</formula>
    </cfRule>
  </conditionalFormatting>
  <conditionalFormatting sqref="I7">
    <cfRule type="expression" dxfId="34" priority="30">
      <formula>IF(OR(O5&lt;&gt;"Federal - NIH",OR(AND(ISBLANK(J7),ISBLANK(K7),ISBLANK(L7)),AND(J7="",K7="",L7=""))),FALSE,IF(J7&gt;0,I7&gt;NIHSalaryCap,I7&gt;(NIHSalaryCap*8.5)/12))</formula>
    </cfRule>
  </conditionalFormatting>
  <conditionalFormatting sqref="I8:I14">
    <cfRule type="expression" dxfId="33" priority="29">
      <formula>IF(OR($O$5&lt;&gt;"Federal - NIH",OR(AND(ISBLANK(J8),ISBLANK(K8),ISBLANK(L8)),AND(J8="",K8="",L8=""))),FALSE,IF(J8&gt;0,I8&gt;NIHSalaryCap,I8&gt;(NIHSalaryCap*8.5)/12))</formula>
    </cfRule>
  </conditionalFormatting>
  <conditionalFormatting sqref="I20:I34">
    <cfRule type="expression" dxfId="32" priority="22">
      <formula>IF(OR($O$5&lt;&gt;"Federal - NIH",OR(AND(ISBLANK(J20),ISBLANK(K20),ISBLANK(L20)),AND(J20="",K20="",L20=""))),FALSE,IF(J20&gt;0,I20&gt;NIHSalaryCap,I20&gt;(NIHSalaryCap*8.5)/12))</formula>
    </cfRule>
    <cfRule type="cellIs" dxfId="31" priority="34" stopIfTrue="1" operator="lessThan">
      <formula>1</formula>
    </cfRule>
  </conditionalFormatting>
  <conditionalFormatting sqref="I43">
    <cfRule type="cellIs" dxfId="30" priority="38" stopIfTrue="1" operator="equal">
      <formula>""</formula>
    </cfRule>
  </conditionalFormatting>
  <conditionalFormatting sqref="M53:M72">
    <cfRule type="cellIs" dxfId="29" priority="1" stopIfTrue="1" operator="lessThan">
      <formula>1</formula>
    </cfRule>
  </conditionalFormatting>
  <conditionalFormatting sqref="O5">
    <cfRule type="cellIs" dxfId="28" priority="35" stopIfTrue="1" operator="equal">
      <formula>""</formula>
    </cfRule>
  </conditionalFormatting>
  <conditionalFormatting sqref="Z25">
    <cfRule type="expression" dxfId="26" priority="7">
      <formula>IF(OR($O$5&lt;&gt;"Federal - NIH",OR(AND(ISBLANK(J25),ISBLANK(K25),ISBLANK(L25)),AND(J25="",K25="",L25=""))),FALSE,IF(J25&gt;0,I25&gt;NIHSalaryCap,I25&gt;(NIHSalaryCap*8.5)/12))</formula>
    </cfRule>
  </conditionalFormatting>
  <dataValidations count="11">
    <dataValidation type="list" allowBlank="1" showInputMessage="1" showErrorMessage="1" sqref="O5 I43" xr:uid="{00000000-0002-0000-0100-000000000000}">
      <formula1>Grad</formula1>
    </dataValidation>
    <dataValidation type="list" allowBlank="1" showInputMessage="1" showErrorMessage="1" sqref="B7:B14 B20:B34 B53:B72" xr:uid="{00000000-0002-0000-0100-000001000000}">
      <formula1>Prefix</formula1>
    </dataValidation>
    <dataValidation type="list" allowBlank="1" showInputMessage="1" showErrorMessage="1" sqref="G7:G14 G20:G34" xr:uid="{00000000-0002-0000-0100-000002000000}">
      <formula1>Roles</formula1>
    </dataValidation>
    <dataValidation type="list" allowBlank="1" showInputMessage="1" showErrorMessage="1" sqref="K5" xr:uid="{00000000-0002-0000-0100-000003000000}">
      <formula1>Duration</formula1>
    </dataValidation>
    <dataValidation type="list" allowBlank="1" showInputMessage="1" showErrorMessage="1" sqref="P5" xr:uid="{00000000-0002-0000-0100-000004000000}">
      <formula1>NIHSalaryCap</formula1>
    </dataValidation>
    <dataValidation type="custom" errorStyle="information" showInputMessage="1" showErrorMessage="1" errorTitle="Salary Cap Error" error="Base salary should remain under $221,900 for calandar appointments and $157,179 for academic appointments." sqref="J53:J72 J7:J14 J20:J34" xr:uid="{7C371127-A2E2-4F29-810A-B457EF5842C1}">
      <formula1>IF(AND($O$5="Federal - NIH",OR(NOT(ISBLANK(J7)),NOT(ISBLANK(K7)),NOT(ISBLANK(L7)),J7&lt;&gt;"",K7&lt;&gt;"",L7&lt;&gt;"")),IF(J7&gt;0,I7&lt;=NIHSalaryCap,I7&lt;=(NIHSalaryCap*8.5)/12),TRUE)</formula1>
    </dataValidation>
    <dataValidation type="custom" errorStyle="information" showInputMessage="1" showErrorMessage="1" errorTitle="Salary Cap Error" error="Base salary should remain under $221,900 for calandar appointments and $157,179 for academic appointments." sqref="K53:K72 K7:K14 K20:K34" xr:uid="{FB5257FD-28C7-4174-A071-DCFE05AA8389}">
      <formula1>IF(AND($O$5="Federal - NIH",OR(NOT(ISBLANK(J7)),NOT(ISBLANK(K7)),NOT(ISBLANK(L7)),J7&lt;&gt;"",K7&lt;&gt;"",L7&lt;&gt;"")),IF(J7&gt;0,I7&lt;=NIHSalaryCap,I7&lt;=(NIHSalaryCap*8.5)/12),TRUE)</formula1>
    </dataValidation>
    <dataValidation type="custom" errorStyle="information" showInputMessage="1" showErrorMessage="1" errorTitle="Salary Cap Error" error="Base salary should remain under $221,900 for calandar appointments and $157,179 for academic appointments." sqref="L53:L72 L7:L14 L20:L34" xr:uid="{2FA28762-E5BD-4546-B932-D8254D4B5114}">
      <formula1>IF(AND($O$5="Federal - NIH",OR(NOT(ISBLANK(J7)),NOT(ISBLANK(K7)),NOT(ISBLANK(L7)),J7&lt;&gt;"",K7&lt;&gt;"",L7&lt;&gt;"")),IF(J7&gt;0,I7&lt;=NIHSalaryCap,I7&lt;=(NIHSalaryCap*8.5)/12),TRUE)</formula1>
    </dataValidation>
    <dataValidation type="custom" errorStyle="information" showInputMessage="1" showErrorMessage="1" errorTitle="Salary Cap Error" error="Base salary should remain under $221,900 for calandar appointments and $157,179 for academic appointments." sqref="I7:I14 I20:I34" xr:uid="{0F41A3EB-B184-41A0-AC02-C1D1E3D0012D}">
      <formula1>IF(AND($O$5="Federal - NIH",OR(NOT(ISBLANK(J7)),NOT(ISBLANK(K7)),NOT(ISBLANK(L7)),J7&lt;&gt;"",K7&lt;&gt;"",L7&lt;&gt;"")),IF(J7&gt;0,I7&lt;=NIHSalaryCap,I7&lt;=(NIHSalaryCap*8.5)/12),TRUE)</formula1>
    </dataValidation>
    <dataValidation type="list" allowBlank="1" showInputMessage="1" showErrorMessage="1" sqref="G54:G72 G53:I53" xr:uid="{B80B75E3-916E-4BB4-A141-A7FF8F8980B8}">
      <formula1>OtherRoles</formula1>
    </dataValidation>
    <dataValidation type="list" allowBlank="1" showInputMessage="1" showErrorMessage="1" sqref="H7:H14 H20:H34" xr:uid="{58C46DD0-A12A-4113-A125-1ED47F0DD2E4}">
      <formula1>Designation</formula1>
    </dataValidation>
  </dataValidations>
  <printOptions horizontalCentered="1"/>
  <pageMargins left="0.25" right="0.25" top="0.5" bottom="0.5" header="0.5" footer="0.5"/>
  <pageSetup scale="78" orientation="landscape" r:id="rId1"/>
  <headerFooter alignWithMargins="0">
    <oddFooter>&amp;RPrinted On: &amp;D &amp;T</oddFooter>
  </headerFooter>
  <rowBreaks count="1" manualBreakCount="1">
    <brk id="50" max="14" man="1"/>
  </rowBreaks>
  <extLst>
    <ext xmlns:x14="http://schemas.microsoft.com/office/spreadsheetml/2009/9/main" uri="{78C0D931-6437-407d-A8EE-F0AAD7539E65}">
      <x14:conditionalFormattings>
        <x14:conditionalFormatting xmlns:xm="http://schemas.microsoft.com/office/excel/2006/main">
          <x14:cfRule type="expression" priority="31" id="{9C49EFE4-FDD0-4336-B8EE-E96302A2AEFD}">
            <xm:f>IF(O5="Federal - NIH",SUM('Non-personnel'!$H$41,$O$43)/IF(OR(ISBLANK($B$43),NOT(ISNUMBER($B$43))),1,$B$43)&gt;NIHGradLimit)</xm:f>
            <x14:dxf>
              <fill>
                <patternFill>
                  <bgColor rgb="FFFFFF00"/>
                </patternFill>
              </fill>
            </x14:dxf>
          </x14:cfRule>
          <xm:sqref>O43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P85"/>
  <sheetViews>
    <sheetView workbookViewId="0">
      <selection sqref="A1:O1"/>
    </sheetView>
  </sheetViews>
  <sheetFormatPr defaultRowHeight="12.75" x14ac:dyDescent="0.2"/>
  <cols>
    <col min="1" max="1" width="3" bestFit="1" customWidth="1"/>
    <col min="2" max="2" width="6.42578125" customWidth="1"/>
    <col min="3" max="3" width="18.7109375" customWidth="1"/>
    <col min="4" max="4" width="9.28515625" customWidth="1"/>
    <col min="5" max="5" width="18.7109375" customWidth="1"/>
    <col min="6" max="6" width="6.28515625" customWidth="1"/>
    <col min="7" max="7" width="14.7109375" customWidth="1"/>
    <col min="8" max="8" width="30.7109375" customWidth="1"/>
    <col min="9" max="9" width="10.5703125" customWidth="1"/>
    <col min="10" max="12" width="7.42578125" customWidth="1"/>
    <col min="13" max="15" width="10.5703125" customWidth="1"/>
    <col min="16" max="16" width="72.140625" customWidth="1"/>
    <col min="17" max="39" width="9.140625" style="335"/>
  </cols>
  <sheetData>
    <row r="1" spans="1:42" ht="18" x14ac:dyDescent="0.25">
      <c r="A1" s="539" t="s">
        <v>71</v>
      </c>
      <c r="B1" s="539"/>
      <c r="C1" s="539"/>
      <c r="D1" s="539"/>
      <c r="E1" s="539"/>
      <c r="F1" s="539"/>
      <c r="G1" s="539"/>
      <c r="H1" s="539"/>
      <c r="I1" s="539"/>
      <c r="J1" s="539"/>
      <c r="K1" s="539"/>
      <c r="L1" s="539"/>
      <c r="M1" s="539"/>
      <c r="N1" s="539"/>
      <c r="O1" s="539"/>
    </row>
    <row r="2" spans="1:42" x14ac:dyDescent="0.2">
      <c r="A2" s="1"/>
      <c r="B2" s="1"/>
      <c r="C2" s="1"/>
      <c r="D2" s="1"/>
      <c r="E2" s="1"/>
      <c r="F2" s="1"/>
      <c r="G2" s="1"/>
      <c r="H2" s="1"/>
      <c r="I2" s="1"/>
      <c r="J2" s="1"/>
      <c r="K2" s="1"/>
      <c r="L2" s="1"/>
      <c r="M2" s="1"/>
      <c r="N2" s="1"/>
      <c r="O2" s="1"/>
    </row>
    <row r="3" spans="1:42" ht="18" x14ac:dyDescent="0.25">
      <c r="A3" s="539" t="s">
        <v>72</v>
      </c>
      <c r="B3" s="539"/>
      <c r="C3" s="539"/>
      <c r="D3" s="539"/>
      <c r="E3" s="539"/>
      <c r="F3" s="539"/>
      <c r="G3" s="539"/>
      <c r="H3" s="539"/>
      <c r="I3" s="539"/>
      <c r="J3" s="539"/>
      <c r="K3" s="539"/>
      <c r="L3" s="539"/>
      <c r="M3" s="539"/>
      <c r="N3" s="539"/>
      <c r="O3" s="539"/>
    </row>
    <row r="4" spans="1:42" ht="18" x14ac:dyDescent="0.25">
      <c r="A4" s="51"/>
      <c r="B4" s="51"/>
      <c r="C4" s="51"/>
      <c r="D4" s="51"/>
      <c r="E4" s="51"/>
      <c r="F4" s="51"/>
      <c r="G4" s="51"/>
      <c r="H4" s="51"/>
      <c r="I4" s="51"/>
      <c r="J4" s="51"/>
      <c r="K4" s="51"/>
      <c r="L4" s="51"/>
      <c r="M4" s="51"/>
      <c r="N4" s="51"/>
      <c r="O4" s="51"/>
    </row>
    <row r="5" spans="1:42" x14ac:dyDescent="0.2">
      <c r="B5" s="516" t="s">
        <v>5</v>
      </c>
      <c r="C5" s="516"/>
      <c r="D5" s="19"/>
      <c r="E5" s="4"/>
      <c r="O5" s="335">
        <f>'Personnel Yr 1'!$O$5</f>
        <v>0</v>
      </c>
    </row>
    <row r="6" spans="1:42" ht="26.25" thickBot="1" x14ac:dyDescent="0.25">
      <c r="B6" s="3" t="s">
        <v>0</v>
      </c>
      <c r="C6" s="2" t="s">
        <v>1</v>
      </c>
      <c r="D6" s="2" t="s">
        <v>2</v>
      </c>
      <c r="E6" s="2" t="s">
        <v>3</v>
      </c>
      <c r="F6" s="2" t="s">
        <v>4</v>
      </c>
      <c r="G6" s="2" t="s">
        <v>39</v>
      </c>
      <c r="H6" s="2" t="s">
        <v>532</v>
      </c>
      <c r="I6" s="2" t="s">
        <v>40</v>
      </c>
      <c r="J6" s="2" t="s">
        <v>56</v>
      </c>
      <c r="K6" s="2" t="s">
        <v>57</v>
      </c>
      <c r="L6" s="2" t="s">
        <v>58</v>
      </c>
      <c r="M6" s="3" t="s">
        <v>41</v>
      </c>
      <c r="N6" s="2" t="s">
        <v>42</v>
      </c>
      <c r="O6" s="2" t="s">
        <v>38</v>
      </c>
      <c r="P6" s="2" t="s">
        <v>224</v>
      </c>
      <c r="Q6" s="334" t="s">
        <v>62</v>
      </c>
      <c r="R6" s="334" t="s">
        <v>63</v>
      </c>
      <c r="S6" s="334" t="s">
        <v>64</v>
      </c>
      <c r="U6" s="334" t="s">
        <v>62</v>
      </c>
      <c r="V6" s="334" t="s">
        <v>63</v>
      </c>
      <c r="W6" s="334" t="s">
        <v>64</v>
      </c>
      <c r="Z6" s="335" t="s">
        <v>449</v>
      </c>
      <c r="AA6" s="335" t="s">
        <v>450</v>
      </c>
      <c r="AN6" s="273"/>
      <c r="AO6" s="273"/>
      <c r="AP6" s="273"/>
    </row>
    <row r="7" spans="1:42" x14ac:dyDescent="0.2">
      <c r="A7" s="4">
        <v>1</v>
      </c>
      <c r="B7" s="57" t="str">
        <f>IF('Personnel Yr 1'!$K$5&gt;1,IF(NOT(OR(ISBLANK('Personnel Yr 1'!B7),'Personnel Yr 1'!B7="")),'Personnel Yr 1'!B7,""),"")</f>
        <v/>
      </c>
      <c r="C7" s="13" t="str">
        <f>IF('Personnel Yr 1'!$K$5&gt;1,IF(ISBLANK('Personnel Yr 1'!C7),"",'Personnel Yr 1'!C7),"")</f>
        <v/>
      </c>
      <c r="D7" s="13" t="str">
        <f>IF('Personnel Yr 1'!$K$5&gt;1,IF(ISBLANK('Personnel Yr 1'!D7),"",'Personnel Yr 1'!D7),"")</f>
        <v/>
      </c>
      <c r="E7" s="13" t="str">
        <f>IF('Personnel Yr 1'!$K$5&gt;1,IF(ISBLANK('Personnel Yr 1'!E7),"",'Personnel Yr 1'!E7),"")</f>
        <v/>
      </c>
      <c r="F7" s="13" t="str">
        <f>IF('Personnel Yr 1'!$K$5&gt;1,IF(ISBLANK('Personnel Yr 1'!F7),"",'Personnel Yr 1'!F7),"")</f>
        <v/>
      </c>
      <c r="G7" s="13" t="str">
        <f>IF('Personnel Yr 1'!$K$5&gt;1,IF(ISBLANK('Personnel Yr 1'!G7),"",'Personnel Yr 1'!G7),"")</f>
        <v/>
      </c>
      <c r="H7" s="13" t="str">
        <f>IF('Personnel Yr 1'!$K$5&gt;1,IF(ISBLANK('Personnel Yr 1'!H7),"",'Personnel Yr 1'!H7),"")</f>
        <v/>
      </c>
      <c r="I7" s="204" t="str">
        <f>IF('Personnel Yr 1'!$K$5&gt;1,IF(NOT(ISBLANK('Personnel Yr 1'!I7)),(('Personnel Yr 1'!I7*'Personnel Yr 1'!$D$5)+'Personnel Yr 1'!I7),""),"")</f>
        <v/>
      </c>
      <c r="J7" s="13" t="str">
        <f>IF('Personnel Yr 1'!$K$5&gt;1,IF(AND(OR(ISBLANK($I7),$I7=""),ISBLANK('Personnel Yr 1'!J7)),"",'Personnel Yr 1'!J7),"")</f>
        <v/>
      </c>
      <c r="K7" s="13" t="str">
        <f>IF('Personnel Yr 1'!$K$5&gt;1,IF(AND(OR(ISBLANK($I7),$I7=""),ISBLANK('Personnel Yr 1'!K7)),"",'Personnel Yr 1'!K7),"")</f>
        <v/>
      </c>
      <c r="L7" s="13" t="str">
        <f>IF('Personnel Yr 1'!$K$5&gt;1,IF(AND(OR(ISBLANK($I7),$I7=""),ISBLANK('Personnel Yr 1'!L7)),"",'Personnel Yr 1'!L7),"")</f>
        <v/>
      </c>
      <c r="M7" s="35" t="str">
        <f>IF('Personnel Yr 1'!$K$5&gt;1,IF(NOT(OR(ISBLANK(I7),I7="")), IF(OR(AND(ISBLANK(J7),ISBLANK(K7),ISBLANK(L7)),AND(J7="",K7="",L7="")),0, IF((AND((J7&gt;0),((K7+L7)&gt;0))),"Error", IF((J7&gt;0),ROUND((IF(AND('Personnel Yr 1'!$P$5&gt;0,I7&gt;'Personnel Yr 1'!$P$5),'Personnel Yr 1'!$P$5,I7)*(J7/12)),2),ROUND((IF(AND('Personnel Yr 1'!$P$5&gt;0,I7&gt;'Personnel Yr 1'!$P$5),'Personnel Yr 1'!$P$5,I7)*((K7+L7)/8.5)),2)))),""),"")</f>
        <v/>
      </c>
      <c r="N7" s="35" t="str">
        <f>IF('Personnel Yr 1'!$K$5&gt;1,IF(OR(ISBLANK(M7),M7=""),"",ROUND(SUM(U7:W7),2)),"")</f>
        <v/>
      </c>
      <c r="O7" s="36" t="str">
        <f>IF('Personnel Yr 1'!$K$5&gt;1,IF(OR(ISBLANK(N7),N7=""),"",ROUND(SUM(M7:N7),2)),"")</f>
        <v/>
      </c>
      <c r="P7" s="12"/>
      <c r="Q7" s="335">
        <f>IF('Personnel Yr 1'!$K$5&gt;1,IF(NOT(OR(ISBLANK(J7),J7="")),(I7/12)*J7,""),0)</f>
        <v>0</v>
      </c>
      <c r="R7" s="335">
        <f>IF('Personnel Yr 1'!$K$5&gt;1,IF(NOT(OR(ISBLANK(K7),K7="")),(I7/8.5)*K7,""),0)</f>
        <v>0</v>
      </c>
      <c r="S7" s="335">
        <f>IF('Personnel Yr 1'!$K$5&gt;1,IF(NOT(OR(ISBLANK(L7),L7="")),(I7/8.5)*L7,""),0)</f>
        <v>0</v>
      </c>
      <c r="U7" s="335">
        <f t="shared" ref="U7:U14" si="0">IF(OR(ISBLANK(Q7),Q7=""),0,Q7*_xlfn.XLOOKUP("*"&amp;H7&amp;"*",BenB,Per,,2))</f>
        <v>0</v>
      </c>
      <c r="V7" s="335">
        <f t="shared" ref="V7:V14" si="1">IF(OR(ISBLANK(R7),R7=""),0,R7*_xlfn.XLOOKUP("*"&amp;H7&amp;"*",BenB,Per,,2))</f>
        <v>0</v>
      </c>
      <c r="W7" s="335">
        <f t="shared" ref="W7:W14" si="2">IF(OR(ISBLANK(S7),S7=""),0,S7*_xlfn.XLOOKUP("Summer",Ben,Per))</f>
        <v>0</v>
      </c>
      <c r="Z7" s="335" t="b">
        <f>IF('Personnel Yr 1'!$K$5&gt;1,IF(OR($O$5&lt;&gt;"Federal - NIH",OR(AND(ISBLANK(J7),ISBLANK(K7),ISBLANK(L7)),AND(J7="",K7="",L7=""))),FALSE,IF(J7&gt;0,I7&gt;NIHSalaryCap,I7&gt;(NIHSalaryCap*8.5)/12)),FALSE)</f>
        <v>0</v>
      </c>
      <c r="AA7" s="335" t="b">
        <f>IF('Personnel Yr 1'!$K$5&gt;1,IF(AND($O$5="Federal - NIH",OR(NOT(ISBLANK(J7)),NOT(ISBLANK(K7)),NOT(ISBLANK(L7)),J7&lt;&gt;"",K7&lt;&gt;"",L7&lt;&gt;"")),IF(J7&gt;0,I7&lt;=NIHSalaryCap,I7&lt;=(NIHSalaryCap*8.5)/12),TRUE),TRUE)</f>
        <v>1</v>
      </c>
      <c r="AB7" s="335" t="s">
        <v>451</v>
      </c>
      <c r="AN7" s="273"/>
      <c r="AO7" s="273"/>
      <c r="AP7" s="273"/>
    </row>
    <row r="8" spans="1:42" x14ac:dyDescent="0.2">
      <c r="A8" s="4">
        <v>2</v>
      </c>
      <c r="B8" s="5" t="str">
        <f>IF('Personnel Yr 1'!$K$5&gt;1,IF(NOT(OR(ISBLANK('Personnel Yr 1'!B8),'Personnel Yr 1'!B8="")),'Personnel Yr 1'!B8,""),"")</f>
        <v/>
      </c>
      <c r="C8" s="17" t="str">
        <f>IF('Personnel Yr 1'!$K$5&gt;1,IF(ISBLANK('Personnel Yr 1'!C8),"",'Personnel Yr 1'!C8),"")</f>
        <v/>
      </c>
      <c r="D8" s="17" t="str">
        <f>IF('Personnel Yr 1'!$K$5&gt;1,IF(ISBLANK('Personnel Yr 1'!D8),"",'Personnel Yr 1'!D8),"")</f>
        <v/>
      </c>
      <c r="E8" s="17" t="str">
        <f>IF('Personnel Yr 1'!$K$5&gt;1,IF(ISBLANK('Personnel Yr 1'!E8),"",'Personnel Yr 1'!E8),"")</f>
        <v/>
      </c>
      <c r="F8" s="17" t="str">
        <f>IF('Personnel Yr 1'!$K$5&gt;1,IF(ISBLANK('Personnel Yr 1'!F8),"",'Personnel Yr 1'!F8),"")</f>
        <v/>
      </c>
      <c r="G8" s="17" t="str">
        <f>IF('Personnel Yr 1'!$K$5&gt;1,IF(ISBLANK('Personnel Yr 1'!G8),"",'Personnel Yr 1'!G8),"")</f>
        <v/>
      </c>
      <c r="H8" s="17" t="str">
        <f>IF('Personnel Yr 1'!$K$5&gt;1,IF(ISBLANK('Personnel Yr 1'!H8),"",'Personnel Yr 1'!H8),"")</f>
        <v/>
      </c>
      <c r="I8" s="32" t="str">
        <f>IF('Personnel Yr 1'!$K$5&gt;1,IF(NOT(ISBLANK('Personnel Yr 1'!I8)),(('Personnel Yr 1'!I8*'Personnel Yr 1'!$D$5)+'Personnel Yr 1'!I8),""),"")</f>
        <v/>
      </c>
      <c r="J8" s="17" t="str">
        <f>IF('Personnel Yr 1'!$K$5&gt;1,IF(AND(OR(ISBLANK($I8),$I8=""),ISBLANK('Personnel Yr 1'!J8)),"",'Personnel Yr 1'!J8),"")</f>
        <v/>
      </c>
      <c r="K8" s="17" t="str">
        <f>IF('Personnel Yr 1'!$K$5&gt;1,IF(AND(OR(ISBLANK($I8),$I8=""),ISBLANK('Personnel Yr 1'!K8)),"",'Personnel Yr 1'!K8),"")</f>
        <v/>
      </c>
      <c r="L8" s="17" t="str">
        <f>IF('Personnel Yr 1'!$K$5&gt;1,IF(AND(OR(ISBLANK($I8),$I8=""),ISBLANK('Personnel Yr 1'!L8)),"",'Personnel Yr 1'!L8),"")</f>
        <v/>
      </c>
      <c r="M8" s="34" t="str">
        <f>IF('Personnel Yr 1'!$K$5&gt;1,IF(NOT(OR(ISBLANK(I8),I8="")), IF(OR(AND(ISBLANK(J8),ISBLANK(K8),ISBLANK(L8)),AND(J8="",K8="",L8="")),0, IF((AND((J8&gt;0),((K8+L8)&gt;0))),"Error", IF((J8&gt;0),ROUND((IF(AND('Personnel Yr 1'!$P$5&gt;0,I8&gt;'Personnel Yr 1'!$P$5),'Personnel Yr 1'!$P$5,I8)*(J8/12)),2),ROUND((IF(AND('Personnel Yr 1'!$P$5&gt;0,I8&gt;'Personnel Yr 1'!$P$5),'Personnel Yr 1'!$P$5,I8)*((K8+L8)/8.5)),2)))),""),"")</f>
        <v/>
      </c>
      <c r="N8" s="34" t="str">
        <f>IF('Personnel Yr 1'!$K$5&gt;1,IF(OR(ISBLANK(M8),M8=""),"",ROUND(SUM(U8:W8),2)),"")</f>
        <v/>
      </c>
      <c r="O8" s="41" t="str">
        <f>IF('Personnel Yr 1'!$K$5&gt;1,IF(OR(ISBLANK(N8),N8=""),"",ROUND(SUM(M8:N8),2)),"")</f>
        <v/>
      </c>
      <c r="P8" s="15"/>
      <c r="Q8" s="335">
        <f>IF('Personnel Yr 1'!$K$5&gt;1,IF(NOT(OR(ISBLANK(J8),J8="")),(I8/12)*J8,""),0)</f>
        <v>0</v>
      </c>
      <c r="R8" s="335">
        <f>IF('Personnel Yr 1'!$K$5&gt;1,IF(NOT(OR(ISBLANK(K8),K8="")),(I8/8.5)*K8,""),0)</f>
        <v>0</v>
      </c>
      <c r="S8" s="335">
        <f>IF('Personnel Yr 1'!$K$5&gt;1,IF(NOT(OR(ISBLANK(L8),L8="")),(I8/8.5)*L8,""),0)</f>
        <v>0</v>
      </c>
      <c r="U8" s="335">
        <f t="shared" si="0"/>
        <v>0</v>
      </c>
      <c r="V8" s="335">
        <f t="shared" si="1"/>
        <v>0</v>
      </c>
      <c r="W8" s="335">
        <f t="shared" si="2"/>
        <v>0</v>
      </c>
      <c r="Z8" s="335" t="b">
        <f>IF('Personnel Yr 1'!$K$5&gt;1,IF(OR($O$5&lt;&gt;"Federal - NIH",OR(AND(ISBLANK(J8),ISBLANK(K8),ISBLANK(L8)),AND(J8="",K8="",L8=""))),FALSE,IF(J8&gt;0,I8&gt;NIHSalaryCap,I8&gt;(NIHSalaryCap*8.5)/12)),FALSE)</f>
        <v>0</v>
      </c>
      <c r="AA8" s="335" t="b">
        <f>IF('Personnel Yr 1'!$K$5&gt;1,IF(AND($O$5="Federal - NIH",OR(NOT(ISBLANK(J8)),NOT(ISBLANK(K8)),NOT(ISBLANK(L8)),J8&lt;&gt;"",K8&lt;&gt;"",L8&lt;&gt;"")),IF(J8&gt;0,I8&lt;=NIHSalaryCap,I8&lt;=(NIHSalaryCap*8.5)/12),TRUE),TRUE)</f>
        <v>1</v>
      </c>
      <c r="AB8" s="335" t="s">
        <v>451</v>
      </c>
      <c r="AN8" s="273"/>
      <c r="AO8" s="273"/>
      <c r="AP8" s="273"/>
    </row>
    <row r="9" spans="1:42" x14ac:dyDescent="0.2">
      <c r="A9" s="4">
        <v>3</v>
      </c>
      <c r="B9" s="5" t="str">
        <f>IF('Personnel Yr 1'!$K$5&gt;1,IF(NOT(OR(ISBLANK('Personnel Yr 1'!B9),'Personnel Yr 1'!B9="")),'Personnel Yr 1'!B9,""),"")</f>
        <v/>
      </c>
      <c r="C9" s="17" t="str">
        <f>IF('Personnel Yr 1'!$K$5&gt;1,IF(ISBLANK('Personnel Yr 1'!C9),"",'Personnel Yr 1'!C9),"")</f>
        <v/>
      </c>
      <c r="D9" s="17" t="str">
        <f>IF('Personnel Yr 1'!$K$5&gt;1,IF(ISBLANK('Personnel Yr 1'!D9),"",'Personnel Yr 1'!D9),"")</f>
        <v/>
      </c>
      <c r="E9" s="17" t="str">
        <f>IF('Personnel Yr 1'!$K$5&gt;1,IF(ISBLANK('Personnel Yr 1'!E9),"",'Personnel Yr 1'!E9),"")</f>
        <v/>
      </c>
      <c r="F9" s="17" t="str">
        <f>IF('Personnel Yr 1'!$K$5&gt;1,IF(ISBLANK('Personnel Yr 1'!F9),"",'Personnel Yr 1'!F9),"")</f>
        <v/>
      </c>
      <c r="G9" s="17" t="str">
        <f>IF('Personnel Yr 1'!$K$5&gt;1,IF(ISBLANK('Personnel Yr 1'!G9),"",'Personnel Yr 1'!G9),"")</f>
        <v/>
      </c>
      <c r="H9" s="17" t="str">
        <f>IF('Personnel Yr 1'!$K$5&gt;1,IF(ISBLANK('Personnel Yr 1'!H9),"",'Personnel Yr 1'!H9),"")</f>
        <v/>
      </c>
      <c r="I9" s="32" t="str">
        <f>IF('Personnel Yr 1'!$K$5&gt;1,IF(NOT(ISBLANK('Personnel Yr 1'!I9)),(('Personnel Yr 1'!I9*'Personnel Yr 1'!$D$5)+'Personnel Yr 1'!I9),""),"")</f>
        <v/>
      </c>
      <c r="J9" s="17" t="str">
        <f>IF('Personnel Yr 1'!$K$5&gt;1,IF(AND(OR(ISBLANK($I9),$I9=""),ISBLANK('Personnel Yr 1'!J9)),"",'Personnel Yr 1'!J9),"")</f>
        <v/>
      </c>
      <c r="K9" s="17" t="str">
        <f>IF('Personnel Yr 1'!$K$5&gt;1,IF(AND(OR(ISBLANK($I9),$I9=""),ISBLANK('Personnel Yr 1'!K9)),"",'Personnel Yr 1'!K9),"")</f>
        <v/>
      </c>
      <c r="L9" s="17" t="str">
        <f>IF('Personnel Yr 1'!$K$5&gt;1,IF(AND(OR(ISBLANK($I9),$I9=""),ISBLANK('Personnel Yr 1'!L9)),"",'Personnel Yr 1'!L9),"")</f>
        <v/>
      </c>
      <c r="M9" s="34" t="str">
        <f>IF('Personnel Yr 1'!$K$5&gt;1,IF(NOT(OR(ISBLANK(I9),I9="")), IF(OR(AND(ISBLANK(J9),ISBLANK(K9),ISBLANK(L9)),AND(J9="",K9="",L9="")),0, IF((AND((J9&gt;0),((K9+L9)&gt;0))),"Error", IF((J9&gt;0),ROUND((IF(AND('Personnel Yr 1'!$P$5&gt;0,I9&gt;'Personnel Yr 1'!$P$5),'Personnel Yr 1'!$P$5,I9)*(J9/12)),2),ROUND((IF(AND('Personnel Yr 1'!$P$5&gt;0,I9&gt;'Personnel Yr 1'!$P$5),'Personnel Yr 1'!$P$5,I9)*((K9+L9)/8.5)),2)))),""),"")</f>
        <v/>
      </c>
      <c r="N9" s="34" t="str">
        <f>IF('Personnel Yr 1'!$K$5&gt;1,IF(OR(ISBLANK(M9),M9=""),"",ROUND(SUM(U9:W9),2)),"")</f>
        <v/>
      </c>
      <c r="O9" s="41" t="str">
        <f>IF('Personnel Yr 1'!$K$5&gt;1,IF(OR(ISBLANK(N9),N9=""),"",ROUND(SUM(M9:N9),2)),"")</f>
        <v/>
      </c>
      <c r="P9" s="187"/>
      <c r="Q9" s="335">
        <f>IF('Personnel Yr 1'!$K$5&gt;1,IF(NOT(OR(ISBLANK(J9),J9="")),(I9/12)*J9,""),0)</f>
        <v>0</v>
      </c>
      <c r="R9" s="335">
        <f>IF('Personnel Yr 1'!$K$5&gt;1,IF(NOT(OR(ISBLANK(K9),K9="")),(I9/8.5)*K9,""),0)</f>
        <v>0</v>
      </c>
      <c r="S9" s="335">
        <f>IF('Personnel Yr 1'!$K$5&gt;1,IF(NOT(OR(ISBLANK(L9),L9="")),(I9/8.5)*L9,""),0)</f>
        <v>0</v>
      </c>
      <c r="U9" s="335">
        <f t="shared" si="0"/>
        <v>0</v>
      </c>
      <c r="V9" s="335">
        <f t="shared" si="1"/>
        <v>0</v>
      </c>
      <c r="W9" s="335">
        <f t="shared" si="2"/>
        <v>0</v>
      </c>
      <c r="Z9" s="335" t="b">
        <f>IF('Personnel Yr 1'!$K$5&gt;1,IF(OR($O$5&lt;&gt;"Federal - NIH",OR(AND(ISBLANK(J9),ISBLANK(K9),ISBLANK(L9)),AND(J9="",K9="",L9=""))),FALSE,IF(J9&gt;0,I9&gt;NIHSalaryCap,I9&gt;(NIHSalaryCap*8.5)/12)),FALSE)</f>
        <v>0</v>
      </c>
      <c r="AA9" s="335" t="b">
        <f>IF('Personnel Yr 1'!$K$5&gt;1,IF(AND($O$5="Federal - NIH",OR(NOT(ISBLANK(J9)),NOT(ISBLANK(K9)),NOT(ISBLANK(L9)),J9&lt;&gt;"",K9&lt;&gt;"",L9&lt;&gt;"")),IF(J9&gt;0,I9&lt;=NIHSalaryCap,I9&lt;=(NIHSalaryCap*8.5)/12),TRUE),TRUE)</f>
        <v>1</v>
      </c>
      <c r="AB9" s="335" t="s">
        <v>451</v>
      </c>
      <c r="AN9" s="273"/>
      <c r="AO9" s="273"/>
      <c r="AP9" s="273"/>
    </row>
    <row r="10" spans="1:42" x14ac:dyDescent="0.2">
      <c r="A10" s="4">
        <v>4</v>
      </c>
      <c r="B10" s="5" t="str">
        <f>IF('Personnel Yr 1'!$K$5&gt;1,IF(NOT(OR(ISBLANK('Personnel Yr 1'!B10),'Personnel Yr 1'!B10="")),'Personnel Yr 1'!B10,""),"")</f>
        <v/>
      </c>
      <c r="C10" s="17" t="str">
        <f>IF('Personnel Yr 1'!$K$5&gt;1,IF(ISBLANK('Personnel Yr 1'!C10),"",'Personnel Yr 1'!C10),"")</f>
        <v/>
      </c>
      <c r="D10" s="17" t="str">
        <f>IF('Personnel Yr 1'!$K$5&gt;1,IF(ISBLANK('Personnel Yr 1'!D10),"",'Personnel Yr 1'!D10),"")</f>
        <v/>
      </c>
      <c r="E10" s="17" t="str">
        <f>IF('Personnel Yr 1'!$K$5&gt;1,IF(ISBLANK('Personnel Yr 1'!E10),"",'Personnel Yr 1'!E10),"")</f>
        <v/>
      </c>
      <c r="F10" s="17" t="str">
        <f>IF('Personnel Yr 1'!$K$5&gt;1,IF(ISBLANK('Personnel Yr 1'!F10),"",'Personnel Yr 1'!F10),"")</f>
        <v/>
      </c>
      <c r="G10" s="17" t="str">
        <f>IF('Personnel Yr 1'!$K$5&gt;1,IF(ISBLANK('Personnel Yr 1'!G10),"",'Personnel Yr 1'!G10),"")</f>
        <v/>
      </c>
      <c r="H10" s="17" t="str">
        <f>IF('Personnel Yr 1'!$K$5&gt;1,IF(ISBLANK('Personnel Yr 1'!H10),"",'Personnel Yr 1'!H10),"")</f>
        <v/>
      </c>
      <c r="I10" s="32" t="str">
        <f>IF('Personnel Yr 1'!$K$5&gt;1,IF(NOT(ISBLANK('Personnel Yr 1'!I10)),(('Personnel Yr 1'!I10*'Personnel Yr 1'!$D$5)+'Personnel Yr 1'!I10),""),"")</f>
        <v/>
      </c>
      <c r="J10" s="17" t="str">
        <f>IF('Personnel Yr 1'!$K$5&gt;1,IF(AND(OR(ISBLANK($I10),$I10=""),ISBLANK('Personnel Yr 1'!J10)),"",'Personnel Yr 1'!J10),"")</f>
        <v/>
      </c>
      <c r="K10" s="17" t="str">
        <f>IF('Personnel Yr 1'!$K$5&gt;1,IF(AND(OR(ISBLANK($I10),$I10=""),ISBLANK('Personnel Yr 1'!K10)),"",'Personnel Yr 1'!K10),"")</f>
        <v/>
      </c>
      <c r="L10" s="17" t="str">
        <f>IF('Personnel Yr 1'!$K$5&gt;1,IF(AND(OR(ISBLANK($I10),$I10=""),ISBLANK('Personnel Yr 1'!L10)),"",'Personnel Yr 1'!L10),"")</f>
        <v/>
      </c>
      <c r="M10" s="34" t="str">
        <f>IF('Personnel Yr 1'!$K$5&gt;1,IF(NOT(OR(ISBLANK(I10),I10="")), IF(OR(AND(ISBLANK(J10),ISBLANK(K10),ISBLANK(L10)),AND(J10="",K10="",L10="")),0, IF((AND((J10&gt;0),((K10+L10)&gt;0))),"Error", IF((J10&gt;0),ROUND((IF(AND('Personnel Yr 1'!$P$5&gt;0,I10&gt;'Personnel Yr 1'!$P$5),'Personnel Yr 1'!$P$5,I10)*(J10/12)),2),ROUND((IF(AND('Personnel Yr 1'!$P$5&gt;0,I10&gt;'Personnel Yr 1'!$P$5),'Personnel Yr 1'!$P$5,I10)*((K10+L10)/8.5)),2)))),""),"")</f>
        <v/>
      </c>
      <c r="N10" s="34" t="str">
        <f>IF('Personnel Yr 1'!$K$5&gt;1,IF(OR(ISBLANK(M10),M10=""),"",ROUND(SUM(U10:W10),2)),"")</f>
        <v/>
      </c>
      <c r="O10" s="41" t="str">
        <f>IF('Personnel Yr 1'!$K$5&gt;1,IF(OR(ISBLANK(N10),N10=""),"",ROUND(SUM(M10:N10),2)),"")</f>
        <v/>
      </c>
      <c r="P10" s="188"/>
      <c r="Q10" s="335">
        <f>IF('Personnel Yr 1'!$K$5&gt;1,IF(NOT(OR(ISBLANK(J10),J10="")),(I10/12)*J10,""),0)</f>
        <v>0</v>
      </c>
      <c r="R10" s="335">
        <f>IF('Personnel Yr 1'!$K$5&gt;1,IF(NOT(OR(ISBLANK(K10),K10="")),(I10/8.5)*K10,""),0)</f>
        <v>0</v>
      </c>
      <c r="S10" s="335">
        <f>IF('Personnel Yr 1'!$K$5&gt;1,IF(NOT(OR(ISBLANK(L10),L10="")),(I10/8.5)*L10,""),0)</f>
        <v>0</v>
      </c>
      <c r="U10" s="335">
        <f t="shared" si="0"/>
        <v>0</v>
      </c>
      <c r="V10" s="335">
        <f t="shared" si="1"/>
        <v>0</v>
      </c>
      <c r="W10" s="335">
        <f t="shared" si="2"/>
        <v>0</v>
      </c>
      <c r="Z10" s="335" t="b">
        <f>IF('Personnel Yr 1'!$K$5&gt;1,IF(OR($O$5&lt;&gt;"Federal - NIH",OR(AND(ISBLANK(J10),ISBLANK(K10),ISBLANK(L10)),AND(J10="",K10="",L10=""))),FALSE,IF(J10&gt;0,I10&gt;NIHSalaryCap,I10&gt;(NIHSalaryCap*8.5)/12)),FALSE)</f>
        <v>0</v>
      </c>
      <c r="AA10" s="335" t="b">
        <f>IF('Personnel Yr 1'!$K$5&gt;1,IF(AND($O$5="Federal - NIH",OR(NOT(ISBLANK(J10)),NOT(ISBLANK(K10)),NOT(ISBLANK(L10)),J10&lt;&gt;"",K10&lt;&gt;"",L10&lt;&gt;"")),IF(J10&gt;0,I10&lt;=NIHSalaryCap,I10&lt;=(NIHSalaryCap*8.5)/12),TRUE),TRUE)</f>
        <v>1</v>
      </c>
      <c r="AB10" s="335" t="s">
        <v>451</v>
      </c>
      <c r="AN10" s="273"/>
      <c r="AO10" s="273"/>
      <c r="AP10" s="273"/>
    </row>
    <row r="11" spans="1:42" x14ac:dyDescent="0.2">
      <c r="A11" s="4">
        <v>5</v>
      </c>
      <c r="B11" s="5" t="str">
        <f>IF('Personnel Yr 1'!$K$5&gt;1,IF(NOT(OR(ISBLANK('Personnel Yr 1'!B11),'Personnel Yr 1'!B11="")),'Personnel Yr 1'!B11,""),"")</f>
        <v/>
      </c>
      <c r="C11" s="17" t="str">
        <f>IF('Personnel Yr 1'!$K$5&gt;1,IF(ISBLANK('Personnel Yr 1'!C11),"",'Personnel Yr 1'!C11),"")</f>
        <v/>
      </c>
      <c r="D11" s="17" t="str">
        <f>IF('Personnel Yr 1'!$K$5&gt;1,IF(ISBLANK('Personnel Yr 1'!D11),"",'Personnel Yr 1'!D11),"")</f>
        <v/>
      </c>
      <c r="E11" s="17" t="str">
        <f>IF('Personnel Yr 1'!$K$5&gt;1,IF(ISBLANK('Personnel Yr 1'!E11),"",'Personnel Yr 1'!E11),"")</f>
        <v/>
      </c>
      <c r="F11" s="17" t="str">
        <f>IF('Personnel Yr 1'!$K$5&gt;1,IF(ISBLANK('Personnel Yr 1'!F11),"",'Personnel Yr 1'!F11),"")</f>
        <v/>
      </c>
      <c r="G11" s="17" t="str">
        <f>IF('Personnel Yr 1'!$K$5&gt;1,IF(ISBLANK('Personnel Yr 1'!G11),"",'Personnel Yr 1'!G11),"")</f>
        <v/>
      </c>
      <c r="H11" s="17" t="str">
        <f>IF('Personnel Yr 1'!$K$5&gt;1,IF(ISBLANK('Personnel Yr 1'!H11),"",'Personnel Yr 1'!H11),"")</f>
        <v/>
      </c>
      <c r="I11" s="32" t="str">
        <f>IF('Personnel Yr 1'!$K$5&gt;1,IF(NOT(ISBLANK('Personnel Yr 1'!I11)),(('Personnel Yr 1'!I11*'Personnel Yr 1'!$D$5)+'Personnel Yr 1'!I11),""),"")</f>
        <v/>
      </c>
      <c r="J11" s="17" t="str">
        <f>IF('Personnel Yr 1'!$K$5&gt;1,IF(AND(OR(ISBLANK($I11),$I11=""),ISBLANK('Personnel Yr 1'!J11)),"",'Personnel Yr 1'!J11),"")</f>
        <v/>
      </c>
      <c r="K11" s="17" t="str">
        <f>IF('Personnel Yr 1'!$K$5&gt;1,IF(AND(OR(ISBLANK($I11),$I11=""),ISBLANK('Personnel Yr 1'!K11)),"",'Personnel Yr 1'!K11),"")</f>
        <v/>
      </c>
      <c r="L11" s="17" t="str">
        <f>IF('Personnel Yr 1'!$K$5&gt;1,IF(AND(OR(ISBLANK($I11),$I11=""),ISBLANK('Personnel Yr 1'!L11)),"",'Personnel Yr 1'!L11),"")</f>
        <v/>
      </c>
      <c r="M11" s="34" t="str">
        <f>IF('Personnel Yr 1'!$K$5&gt;1,IF(NOT(OR(ISBLANK(I11),I11="")), IF(OR(AND(ISBLANK(J11),ISBLANK(K11),ISBLANK(L11)),AND(J11="",K11="",L11="")),0, IF((AND((J11&gt;0),((K11+L11)&gt;0))),"Error", IF((J11&gt;0),ROUND((IF(AND('Personnel Yr 1'!$P$5&gt;0,I11&gt;'Personnel Yr 1'!$P$5),'Personnel Yr 1'!$P$5,I11)*(J11/12)),2),ROUND((IF(AND('Personnel Yr 1'!$P$5&gt;0,I11&gt;'Personnel Yr 1'!$P$5),'Personnel Yr 1'!$P$5,I11)*((K11+L11)/8.5)),2)))),""),"")</f>
        <v/>
      </c>
      <c r="N11" s="34" t="str">
        <f>IF('Personnel Yr 1'!$K$5&gt;1,IF(OR(ISBLANK(M11),M11=""),"",ROUND(SUM(U11:W11),2)),"")</f>
        <v/>
      </c>
      <c r="O11" s="41" t="str">
        <f>IF('Personnel Yr 1'!$K$5&gt;1,IF(OR(ISBLANK(N11),N11=""),"",ROUND(SUM(M11:N11),2)),"")</f>
        <v/>
      </c>
      <c r="P11" s="15"/>
      <c r="Q11" s="335">
        <f>IF('Personnel Yr 1'!$K$5&gt;1,IF(NOT(OR(ISBLANK(J11),J11="")),(I11/12)*J11,""),0)</f>
        <v>0</v>
      </c>
      <c r="R11" s="335">
        <f>IF('Personnel Yr 1'!$K$5&gt;1,IF(NOT(OR(ISBLANK(K11),K11="")),(I11/8.5)*K11,""),0)</f>
        <v>0</v>
      </c>
      <c r="S11" s="335">
        <f>IF('Personnel Yr 1'!$K$5&gt;1,IF(NOT(OR(ISBLANK(L11),L11="")),(I11/8.5)*L11,""),0)</f>
        <v>0</v>
      </c>
      <c r="U11" s="335">
        <f t="shared" si="0"/>
        <v>0</v>
      </c>
      <c r="V11" s="335">
        <f t="shared" si="1"/>
        <v>0</v>
      </c>
      <c r="W11" s="335">
        <f t="shared" si="2"/>
        <v>0</v>
      </c>
      <c r="Z11" s="335" t="b">
        <f>IF('Personnel Yr 1'!$K$5&gt;1,IF(OR($O$5&lt;&gt;"Federal - NIH",OR(AND(ISBLANK(J11),ISBLANK(K11),ISBLANK(L11)),AND(J11="",K11="",L11=""))),FALSE,IF(J11&gt;0,I11&gt;NIHSalaryCap,I11&gt;(NIHSalaryCap*8.5)/12)),FALSE)</f>
        <v>0</v>
      </c>
      <c r="AA11" s="335" t="b">
        <f>IF('Personnel Yr 1'!$K$5&gt;1,IF(AND($O$5="Federal - NIH",OR(NOT(ISBLANK(J11)),NOT(ISBLANK(K11)),NOT(ISBLANK(L11)),J11&lt;&gt;"",K11&lt;&gt;"",L11&lt;&gt;"")),IF(J11&gt;0,I11&lt;=NIHSalaryCap,I11&lt;=(NIHSalaryCap*8.5)/12),TRUE),TRUE)</f>
        <v>1</v>
      </c>
      <c r="AB11" s="335" t="s">
        <v>451</v>
      </c>
      <c r="AN11" s="273"/>
      <c r="AO11" s="273"/>
      <c r="AP11" s="273"/>
    </row>
    <row r="12" spans="1:42" x14ac:dyDescent="0.2">
      <c r="A12" s="4">
        <v>6</v>
      </c>
      <c r="B12" s="5" t="str">
        <f>IF('Personnel Yr 1'!$K$5&gt;1,IF(NOT(OR(ISBLANK('Personnel Yr 1'!B12),'Personnel Yr 1'!B12="")),'Personnel Yr 1'!B12,""),"")</f>
        <v/>
      </c>
      <c r="C12" s="17" t="str">
        <f>IF('Personnel Yr 1'!$K$5&gt;1,IF(ISBLANK('Personnel Yr 1'!C12),"",'Personnel Yr 1'!C12),"")</f>
        <v/>
      </c>
      <c r="D12" s="17" t="str">
        <f>IF('Personnel Yr 1'!$K$5&gt;1,IF(ISBLANK('Personnel Yr 1'!D12),"",'Personnel Yr 1'!D12),"")</f>
        <v/>
      </c>
      <c r="E12" s="17" t="str">
        <f>IF('Personnel Yr 1'!$K$5&gt;1,IF(ISBLANK('Personnel Yr 1'!E12),"",'Personnel Yr 1'!E12),"")</f>
        <v/>
      </c>
      <c r="F12" s="17" t="str">
        <f>IF('Personnel Yr 1'!$K$5&gt;1,IF(ISBLANK('Personnel Yr 1'!F12),"",'Personnel Yr 1'!F12),"")</f>
        <v/>
      </c>
      <c r="G12" s="17" t="str">
        <f>IF('Personnel Yr 1'!$K$5&gt;1,IF(ISBLANK('Personnel Yr 1'!G12),"",'Personnel Yr 1'!G12),"")</f>
        <v/>
      </c>
      <c r="H12" s="17" t="str">
        <f>IF('Personnel Yr 1'!$K$5&gt;1,IF(ISBLANK('Personnel Yr 1'!H12),"",'Personnel Yr 1'!H12),"")</f>
        <v/>
      </c>
      <c r="I12" s="32" t="str">
        <f>IF('Personnel Yr 1'!$K$5&gt;1,IF(NOT(ISBLANK('Personnel Yr 1'!I12)),(('Personnel Yr 1'!I12*'Personnel Yr 1'!$D$5)+'Personnel Yr 1'!I12),""),"")</f>
        <v/>
      </c>
      <c r="J12" s="17" t="str">
        <f>IF('Personnel Yr 1'!$K$5&gt;1,IF(AND(OR(ISBLANK($I12),$I12=""),ISBLANK('Personnel Yr 1'!J12)),"",'Personnel Yr 1'!J12),"")</f>
        <v/>
      </c>
      <c r="K12" s="17" t="str">
        <f>IF('Personnel Yr 1'!$K$5&gt;1,IF(AND(OR(ISBLANK($I12),$I12=""),ISBLANK('Personnel Yr 1'!K12)),"",'Personnel Yr 1'!K12),"")</f>
        <v/>
      </c>
      <c r="L12" s="17" t="str">
        <f>IF('Personnel Yr 1'!$K$5&gt;1,IF(AND(OR(ISBLANK($I12),$I12=""),ISBLANK('Personnel Yr 1'!L12)),"",'Personnel Yr 1'!L12),"")</f>
        <v/>
      </c>
      <c r="M12" s="34" t="str">
        <f>IF('Personnel Yr 1'!$K$5&gt;1,IF(NOT(OR(ISBLANK(I12),I12="")), IF(OR(AND(ISBLANK(J12),ISBLANK(K12),ISBLANK(L12)),AND(J12="",K12="",L12="")),0, IF((AND((J12&gt;0),((K12+L12)&gt;0))),"Error", IF((J12&gt;0),ROUND((IF(AND('Personnel Yr 1'!$P$5&gt;0,I12&gt;'Personnel Yr 1'!$P$5),'Personnel Yr 1'!$P$5,I12)*(J12/12)),2),ROUND((IF(AND('Personnel Yr 1'!$P$5&gt;0,I12&gt;'Personnel Yr 1'!$P$5),'Personnel Yr 1'!$P$5,I12)*((K12+L12)/8.5)),2)))),""),"")</f>
        <v/>
      </c>
      <c r="N12" s="34" t="str">
        <f>IF('Personnel Yr 1'!$K$5&gt;1,IF(OR(ISBLANK(M12),M12=""),"",ROUND(SUM(U12:W12),2)),"")</f>
        <v/>
      </c>
      <c r="O12" s="41" t="str">
        <f>IF('Personnel Yr 1'!$K$5&gt;1,IF(OR(ISBLANK(N12),N12=""),"",ROUND(SUM(M12:N12),2)),"")</f>
        <v/>
      </c>
      <c r="P12" s="15"/>
      <c r="Q12" s="335">
        <f>IF('Personnel Yr 1'!$K$5&gt;1,IF(NOT(OR(ISBLANK(J12),J12="")),(I12/12)*J12,""),0)</f>
        <v>0</v>
      </c>
      <c r="R12" s="335">
        <f>IF('Personnel Yr 1'!$K$5&gt;1,IF(NOT(OR(ISBLANK(K12),K12="")),(I12/8.5)*K12,""),0)</f>
        <v>0</v>
      </c>
      <c r="S12" s="335">
        <f>IF('Personnel Yr 1'!$K$5&gt;1,IF(NOT(OR(ISBLANK(L12),L12="")),(I12/8.5)*L12,""),0)</f>
        <v>0</v>
      </c>
      <c r="U12" s="335">
        <f t="shared" si="0"/>
        <v>0</v>
      </c>
      <c r="V12" s="335">
        <f t="shared" si="1"/>
        <v>0</v>
      </c>
      <c r="W12" s="335">
        <f t="shared" si="2"/>
        <v>0</v>
      </c>
      <c r="Z12" s="335" t="b">
        <f>IF('Personnel Yr 1'!$K$5&gt;1,IF(OR($O$5&lt;&gt;"Federal - NIH",OR(AND(ISBLANK(J12),ISBLANK(K12),ISBLANK(L12)),AND(J12="",K12="",L12=""))),FALSE,IF(J12&gt;0,I12&gt;NIHSalaryCap,I12&gt;(NIHSalaryCap*8.5)/12)),FALSE)</f>
        <v>0</v>
      </c>
      <c r="AA12" s="335" t="b">
        <f>IF('Personnel Yr 1'!$K$5&gt;1,IF(AND($O$5="Federal - NIH",OR(NOT(ISBLANK(J12)),NOT(ISBLANK(K12)),NOT(ISBLANK(L12)),J12&lt;&gt;"",K12&lt;&gt;"",L12&lt;&gt;"")),IF(J12&gt;0,I12&lt;=NIHSalaryCap,I12&lt;=(NIHSalaryCap*8.5)/12),TRUE),TRUE)</f>
        <v>1</v>
      </c>
      <c r="AB12" s="335" t="s">
        <v>451</v>
      </c>
      <c r="AN12" s="273"/>
      <c r="AO12" s="273"/>
      <c r="AP12" s="273"/>
    </row>
    <row r="13" spans="1:42" x14ac:dyDescent="0.2">
      <c r="A13" s="4">
        <v>7</v>
      </c>
      <c r="B13" s="5" t="str">
        <f>IF('Personnel Yr 1'!$K$5&gt;1,IF(NOT(OR(ISBLANK('Personnel Yr 1'!B13),'Personnel Yr 1'!B13="")),'Personnel Yr 1'!B13,""),"")</f>
        <v/>
      </c>
      <c r="C13" s="17" t="str">
        <f>IF('Personnel Yr 1'!$K$5&gt;1,IF(ISBLANK('Personnel Yr 1'!C13),"",'Personnel Yr 1'!C13),"")</f>
        <v/>
      </c>
      <c r="D13" s="17" t="str">
        <f>IF('Personnel Yr 1'!$K$5&gt;1,IF(ISBLANK('Personnel Yr 1'!D13),"",'Personnel Yr 1'!D13),"")</f>
        <v/>
      </c>
      <c r="E13" s="17" t="str">
        <f>IF('Personnel Yr 1'!$K$5&gt;1,IF(ISBLANK('Personnel Yr 1'!E13),"",'Personnel Yr 1'!E13),"")</f>
        <v/>
      </c>
      <c r="F13" s="17" t="str">
        <f>IF('Personnel Yr 1'!$K$5&gt;1,IF(ISBLANK('Personnel Yr 1'!F13),"",'Personnel Yr 1'!F13),"")</f>
        <v/>
      </c>
      <c r="G13" s="17" t="str">
        <f>IF('Personnel Yr 1'!$K$5&gt;1,IF(ISBLANK('Personnel Yr 1'!G13),"",'Personnel Yr 1'!G13),"")</f>
        <v/>
      </c>
      <c r="H13" s="17" t="str">
        <f>IF('Personnel Yr 1'!$K$5&gt;1,IF(ISBLANK('Personnel Yr 1'!H13),"",'Personnel Yr 1'!H13),"")</f>
        <v/>
      </c>
      <c r="I13" s="32" t="str">
        <f>IF('Personnel Yr 1'!$K$5&gt;1,IF(NOT(ISBLANK('Personnel Yr 1'!I13)),(('Personnel Yr 1'!I13*'Personnel Yr 1'!$D$5)+'Personnel Yr 1'!I13),""),"")</f>
        <v/>
      </c>
      <c r="J13" s="17" t="str">
        <f>IF('Personnel Yr 1'!$K$5&gt;1,IF(AND(OR(ISBLANK($I13),$I13=""),ISBLANK('Personnel Yr 1'!J13)),"",'Personnel Yr 1'!J13),"")</f>
        <v/>
      </c>
      <c r="K13" s="17" t="str">
        <f>IF('Personnel Yr 1'!$K$5&gt;1,IF(AND(OR(ISBLANK($I13),$I13=""),ISBLANK('Personnel Yr 1'!K13)),"",'Personnel Yr 1'!K13),"")</f>
        <v/>
      </c>
      <c r="L13" s="17" t="str">
        <f>IF('Personnel Yr 1'!$K$5&gt;1,IF(AND(OR(ISBLANK($I13),$I13=""),ISBLANK('Personnel Yr 1'!L13)),"",'Personnel Yr 1'!L13),"")</f>
        <v/>
      </c>
      <c r="M13" s="34" t="str">
        <f>IF('Personnel Yr 1'!$K$5&gt;1,IF(NOT(OR(ISBLANK(I13),I13="")), IF(OR(AND(ISBLANK(J13),ISBLANK(K13),ISBLANK(L13)),AND(J13="",K13="",L13="")),0, IF((AND((J13&gt;0),((K13+L13)&gt;0))),"Error", IF((J13&gt;0),ROUND((IF(AND('Personnel Yr 1'!$P$5&gt;0,I13&gt;'Personnel Yr 1'!$P$5),'Personnel Yr 1'!$P$5,I13)*(J13/12)),2),ROUND((IF(AND('Personnel Yr 1'!$P$5&gt;0,I13&gt;'Personnel Yr 1'!$P$5),'Personnel Yr 1'!$P$5,I13)*((K13+L13)/8.5)),2)))),""),"")</f>
        <v/>
      </c>
      <c r="N13" s="34" t="str">
        <f>IF('Personnel Yr 1'!$K$5&gt;1,IF(OR(ISBLANK(M13),M13=""),"",ROUND(SUM(U13:W13),2)),"")</f>
        <v/>
      </c>
      <c r="O13" s="41" t="str">
        <f>IF('Personnel Yr 1'!$K$5&gt;1,IF(OR(ISBLANK(N13),N13=""),"",ROUND(SUM(M13:N13),2)),"")</f>
        <v/>
      </c>
      <c r="P13" s="187"/>
      <c r="Q13" s="335">
        <f>IF('Personnel Yr 1'!$K$5&gt;1,IF(NOT(OR(ISBLANK(J13),J13="")),(I13/12)*J13,""),0)</f>
        <v>0</v>
      </c>
      <c r="R13" s="335">
        <f>IF('Personnel Yr 1'!$K$5&gt;1,IF(NOT(OR(ISBLANK(K13),K13="")),(I13/8.5)*K13,""),0)</f>
        <v>0</v>
      </c>
      <c r="S13" s="335">
        <f>IF('Personnel Yr 1'!$K$5&gt;1,IF(NOT(OR(ISBLANK(L13),L13="")),(I13/8.5)*L13,""),0)</f>
        <v>0</v>
      </c>
      <c r="U13" s="335">
        <f t="shared" si="0"/>
        <v>0</v>
      </c>
      <c r="V13" s="335">
        <f t="shared" si="1"/>
        <v>0</v>
      </c>
      <c r="W13" s="335">
        <f t="shared" si="2"/>
        <v>0</v>
      </c>
      <c r="Z13" s="335" t="b">
        <f>IF('Personnel Yr 1'!$K$5&gt;1,IF(OR($O$5&lt;&gt;"Federal - NIH",OR(AND(ISBLANK(J13),ISBLANK(K13),ISBLANK(L13)),AND(J13="",K13="",L13=""))),FALSE,IF(J13&gt;0,I13&gt;NIHSalaryCap,I13&gt;(NIHSalaryCap*8.5)/12)),FALSE)</f>
        <v>0</v>
      </c>
      <c r="AA13" s="335" t="b">
        <f>IF('Personnel Yr 1'!$K$5&gt;1,IF(AND($O$5="Federal - NIH",OR(NOT(ISBLANK(J13)),NOT(ISBLANK(K13)),NOT(ISBLANK(L13)),J13&lt;&gt;"",K13&lt;&gt;"",L13&lt;&gt;"")),IF(J13&gt;0,I13&lt;=NIHSalaryCap,I13&lt;=(NIHSalaryCap*8.5)/12),TRUE),TRUE)</f>
        <v>1</v>
      </c>
      <c r="AB13" s="335" t="s">
        <v>451</v>
      </c>
      <c r="AN13" s="273"/>
      <c r="AO13" s="273"/>
      <c r="AP13" s="273"/>
    </row>
    <row r="14" spans="1:42" ht="13.5" thickBot="1" x14ac:dyDescent="0.25">
      <c r="A14" s="4">
        <v>8</v>
      </c>
      <c r="B14" s="6" t="str">
        <f>IF('Personnel Yr 1'!$K$5&gt;1,IF(NOT(OR(ISBLANK('Personnel Yr 1'!B14),'Personnel Yr 1'!B14="")),'Personnel Yr 1'!B14,""),"")</f>
        <v/>
      </c>
      <c r="C14" s="22" t="str">
        <f>IF('Personnel Yr 1'!$K$5&gt;1,IF(ISBLANK('Personnel Yr 1'!C14),"",'Personnel Yr 1'!C14),"")</f>
        <v/>
      </c>
      <c r="D14" s="22" t="str">
        <f>IF('Personnel Yr 1'!$K$5&gt;1,IF(ISBLANK('Personnel Yr 1'!D14),"",'Personnel Yr 1'!D14),"")</f>
        <v/>
      </c>
      <c r="E14" s="22" t="str">
        <f>IF('Personnel Yr 1'!$K$5&gt;1,IF(ISBLANK('Personnel Yr 1'!E14),"",'Personnel Yr 1'!E14),"")</f>
        <v/>
      </c>
      <c r="F14" s="22" t="str">
        <f>IF('Personnel Yr 1'!$K$5&gt;1,IF(ISBLANK('Personnel Yr 1'!F14),"",'Personnel Yr 1'!F14),"")</f>
        <v/>
      </c>
      <c r="G14" s="22" t="str">
        <f>IF('Personnel Yr 1'!$K$5&gt;1,IF(ISBLANK('Personnel Yr 1'!G14),"",'Personnel Yr 1'!G14),"")</f>
        <v/>
      </c>
      <c r="H14" s="22" t="str">
        <f>IF('Personnel Yr 1'!$K$5&gt;1,IF(ISBLANK('Personnel Yr 1'!H14),"",'Personnel Yr 1'!H14),"")</f>
        <v/>
      </c>
      <c r="I14" s="33" t="str">
        <f>IF('Personnel Yr 1'!$K$5&gt;1,IF(NOT(ISBLANK('Personnel Yr 1'!I14)),(('Personnel Yr 1'!I14*'Personnel Yr 1'!$D$5)+'Personnel Yr 1'!I14),""),"")</f>
        <v/>
      </c>
      <c r="J14" s="22" t="str">
        <f>IF('Personnel Yr 1'!$K$5&gt;1,IF(AND(OR(ISBLANK($I14),$I14=""),ISBLANK('Personnel Yr 1'!J14)),"",'Personnel Yr 1'!J14),"")</f>
        <v/>
      </c>
      <c r="K14" s="22" t="str">
        <f>IF('Personnel Yr 1'!$K$5&gt;1,IF(AND(OR(ISBLANK($I14),$I14=""),ISBLANK('Personnel Yr 1'!K14)),"",'Personnel Yr 1'!K14),"")</f>
        <v/>
      </c>
      <c r="L14" s="22" t="str">
        <f>IF('Personnel Yr 1'!$K$5&gt;1,IF(AND(OR(ISBLANK($I14),$I14=""),ISBLANK('Personnel Yr 1'!L14)),"",'Personnel Yr 1'!L14),"")</f>
        <v/>
      </c>
      <c r="M14" s="39" t="str">
        <f>IF('Personnel Yr 1'!$K$5&gt;1,IF(NOT(OR(ISBLANK(I14),I14="")), IF(OR(AND(ISBLANK(J14),ISBLANK(K14),ISBLANK(L14)),AND(J14="",K14="",L14="")),0, IF((AND((J14&gt;0),((K14+L14)&gt;0))),"Error", IF((J14&gt;0),ROUND((IF(AND('Personnel Yr 1'!$P$5&gt;0,I14&gt;'Personnel Yr 1'!$P$5),'Personnel Yr 1'!$P$5,I14)*(J14/12)),2),ROUND((IF(AND('Personnel Yr 1'!$P$5&gt;0,I14&gt;'Personnel Yr 1'!$P$5),'Personnel Yr 1'!$P$5,I14)*((K14+L14)/8.5)),2)))),""),"")</f>
        <v/>
      </c>
      <c r="N14" s="39" t="str">
        <f>IF('Personnel Yr 1'!$K$5&gt;1,IF(OR(ISBLANK(M14),M14=""),"",ROUND(SUM(U14:W14),2)),"")</f>
        <v/>
      </c>
      <c r="O14" s="210" t="str">
        <f>IF('Personnel Yr 1'!$K$5&gt;1,IF(OR(ISBLANK(N14),N14=""),"",ROUND(SUM(M14:N14),2)),"")</f>
        <v/>
      </c>
      <c r="P14" s="189"/>
      <c r="Q14" s="335">
        <f>IF('Personnel Yr 1'!$K$5&gt;1,IF(NOT(OR(ISBLANK(J14),J14="")),(I14/12)*J14,""),0)</f>
        <v>0</v>
      </c>
      <c r="R14" s="335">
        <f>IF('Personnel Yr 1'!$K$5&gt;1,IF(NOT(OR(ISBLANK(K14),K14="")),(I14/8.5)*K14,""),0)</f>
        <v>0</v>
      </c>
      <c r="S14" s="335">
        <f>IF('Personnel Yr 1'!$K$5&gt;1,IF(NOT(OR(ISBLANK(L14),L14="")),(I14/8.5)*L14,""),0)</f>
        <v>0</v>
      </c>
      <c r="U14" s="335">
        <f t="shared" si="0"/>
        <v>0</v>
      </c>
      <c r="V14" s="335">
        <f t="shared" si="1"/>
        <v>0</v>
      </c>
      <c r="W14" s="335">
        <f t="shared" si="2"/>
        <v>0</v>
      </c>
      <c r="Z14" s="335" t="b">
        <f>IF('Personnel Yr 1'!$K$5&gt;1,IF(OR($O$5&lt;&gt;"Federal - NIH",OR(AND(ISBLANK(J14),ISBLANK(K14),ISBLANK(L14)),AND(J14="",K14="",L14=""))),FALSE,IF(J14&gt;0,I14&gt;NIHSalaryCap,I14&gt;(NIHSalaryCap*8.5)/12)),FALSE)</f>
        <v>0</v>
      </c>
      <c r="AA14" s="335" t="b">
        <f>IF('Personnel Yr 1'!$K$5&gt;1,IF(AND($O$5="Federal - NIH",OR(NOT(ISBLANK(J14)),NOT(ISBLANK(K14)),NOT(ISBLANK(L14)),J14&lt;&gt;"",K14&lt;&gt;"",L14&lt;&gt;"")),IF(J14&gt;0,I14&lt;=NIHSalaryCap,I14&lt;=(NIHSalaryCap*8.5)/12),TRUE),TRUE)</f>
        <v>1</v>
      </c>
      <c r="AB14" s="335" t="s">
        <v>451</v>
      </c>
      <c r="AN14" s="273"/>
      <c r="AO14" s="273"/>
      <c r="AP14" s="273"/>
    </row>
    <row r="15" spans="1:42" ht="13.5" thickBot="1" x14ac:dyDescent="0.25">
      <c r="A15" s="4">
        <v>9</v>
      </c>
      <c r="B15" s="20">
        <f>B35</f>
        <v>0</v>
      </c>
      <c r="C15" s="540" t="s">
        <v>49</v>
      </c>
      <c r="D15" s="540"/>
      <c r="E15" s="540"/>
      <c r="F15" s="540"/>
      <c r="G15" s="543" t="s">
        <v>59</v>
      </c>
      <c r="H15" s="513"/>
      <c r="I15" s="543"/>
      <c r="J15" s="543"/>
      <c r="K15" s="543"/>
      <c r="L15" s="543"/>
      <c r="M15" s="543"/>
      <c r="N15" s="544"/>
      <c r="O15" s="45">
        <f>O35</f>
        <v>0</v>
      </c>
      <c r="Q15" s="335">
        <f>SUM(Q7:Q14)</f>
        <v>0</v>
      </c>
      <c r="R15" s="335">
        <f>SUM(R7:R14)</f>
        <v>0</v>
      </c>
      <c r="S15" s="335">
        <f>SUM(S7:S14)</f>
        <v>0</v>
      </c>
      <c r="U15" s="426">
        <f>SUM(U7:U14)</f>
        <v>0</v>
      </c>
      <c r="V15" s="335">
        <f>SUM(V7:V14)</f>
        <v>0</v>
      </c>
      <c r="W15" s="335">
        <f>SUM(W7:W14)</f>
        <v>0</v>
      </c>
      <c r="AN15" s="273"/>
      <c r="AO15" s="273"/>
      <c r="AP15" s="273"/>
    </row>
    <row r="16" spans="1:42" ht="13.5" thickBot="1" x14ac:dyDescent="0.25">
      <c r="B16" s="20">
        <f>SUM(ROWS(E7:E14)-COUNTIF(E7:E14,""),B15)</f>
        <v>0</v>
      </c>
      <c r="C16" s="515" t="s">
        <v>48</v>
      </c>
      <c r="D16" s="516"/>
      <c r="E16" s="516"/>
      <c r="F16" s="516"/>
      <c r="I16" s="8"/>
      <c r="J16" s="8"/>
      <c r="K16" s="513" t="s">
        <v>31</v>
      </c>
      <c r="L16" s="513"/>
      <c r="M16" s="513"/>
      <c r="N16" s="514"/>
      <c r="O16" s="38">
        <f>SUM(O7:O15)</f>
        <v>0</v>
      </c>
    </row>
    <row r="17" spans="1:26" x14ac:dyDescent="0.2">
      <c r="I17" s="8"/>
      <c r="J17" s="8"/>
      <c r="K17" s="9"/>
      <c r="L17" s="9"/>
      <c r="M17" s="9"/>
      <c r="N17" s="9"/>
      <c r="O17" s="8"/>
    </row>
    <row r="18" spans="1:26" x14ac:dyDescent="0.2">
      <c r="B18" s="498" t="s">
        <v>232</v>
      </c>
      <c r="C18" s="498"/>
      <c r="D18" s="498"/>
    </row>
    <row r="19" spans="1:26" ht="26.25" thickBot="1" x14ac:dyDescent="0.25">
      <c r="B19" s="2" t="s">
        <v>0</v>
      </c>
      <c r="C19" s="2" t="s">
        <v>1</v>
      </c>
      <c r="D19" s="2" t="s">
        <v>2</v>
      </c>
      <c r="E19" s="2" t="s">
        <v>3</v>
      </c>
      <c r="F19" s="2" t="s">
        <v>4</v>
      </c>
      <c r="G19" s="2" t="s">
        <v>39</v>
      </c>
      <c r="H19" s="2" t="s">
        <v>532</v>
      </c>
      <c r="I19" s="2" t="s">
        <v>40</v>
      </c>
      <c r="J19" s="2" t="s">
        <v>56</v>
      </c>
      <c r="K19" s="2" t="s">
        <v>57</v>
      </c>
      <c r="L19" s="2" t="s">
        <v>58</v>
      </c>
      <c r="M19" s="3" t="s">
        <v>41</v>
      </c>
      <c r="N19" s="2" t="s">
        <v>42</v>
      </c>
      <c r="O19" s="2" t="s">
        <v>38</v>
      </c>
      <c r="P19" s="2" t="s">
        <v>224</v>
      </c>
      <c r="Q19" s="334" t="s">
        <v>62</v>
      </c>
      <c r="R19" s="334" t="s">
        <v>63</v>
      </c>
      <c r="S19" s="334" t="s">
        <v>64</v>
      </c>
      <c r="U19" s="334" t="s">
        <v>62</v>
      </c>
      <c r="V19" s="334" t="s">
        <v>63</v>
      </c>
      <c r="W19" s="334" t="s">
        <v>64</v>
      </c>
      <c r="Z19" s="335" t="s">
        <v>449</v>
      </c>
    </row>
    <row r="20" spans="1:26" x14ac:dyDescent="0.2">
      <c r="A20" s="4">
        <v>1</v>
      </c>
      <c r="B20" s="21" t="str">
        <f>IF('Personnel Yr 1'!$K$5&gt;1,IF(NOT(OR(ISBLANK('Personnel Yr 1'!B20),'Personnel Yr 1'!B20="")),'Personnel Yr 1'!B20,""),"")</f>
        <v/>
      </c>
      <c r="C20" s="13" t="str">
        <f>IF('Personnel Yr 1'!$K$5&gt;1,IF(ISBLANK('Personnel Yr 1'!C20),"",'Personnel Yr 1'!C20),"")</f>
        <v/>
      </c>
      <c r="D20" s="13" t="str">
        <f>IF('Personnel Yr 1'!$K$5&gt;1,IF(ISBLANK('Personnel Yr 1'!D20),"",'Personnel Yr 1'!D20),"")</f>
        <v/>
      </c>
      <c r="E20" s="209" t="str">
        <f>IF('Personnel Yr 1'!$K$5&gt;1,IF(ISBLANK('Personnel Yr 1'!E20),"",'Personnel Yr 1'!E20),"")</f>
        <v/>
      </c>
      <c r="F20" s="13" t="str">
        <f>IF('Personnel Yr 1'!$K$5&gt;1,IF(ISBLANK('Personnel Yr 1'!F20),"",'Personnel Yr 1'!F20),"")</f>
        <v/>
      </c>
      <c r="G20" s="203" t="str">
        <f>IF('Personnel Yr 1'!$K$5&gt;1,IF(ISBLANK('Personnel Yr 1'!G20),"",'Personnel Yr 1'!G20),"")</f>
        <v/>
      </c>
      <c r="H20" s="13" t="str">
        <f>IF('Personnel Yr 1'!$K$5&gt;1,IF(ISBLANK('Personnel Yr 1'!H20),"",'Personnel Yr 1'!H20),"")</f>
        <v/>
      </c>
      <c r="I20" s="204" t="str">
        <f>IF('Personnel Yr 1'!$K$5&gt;1,IF(NOT(ISBLANK('Personnel Yr 1'!I20)),(('Personnel Yr 1'!I20*'Personnel Yr 1'!$D$5)+'Personnel Yr 1'!I20),""),"")</f>
        <v/>
      </c>
      <c r="J20" s="13" t="str">
        <f>IF('Personnel Yr 1'!$K$5&gt;1,IF(AND(OR(ISBLANK($I20),$I20=""),ISBLANK('Personnel Yr 1'!J20)),"",'Personnel Yr 1'!J20),"")</f>
        <v/>
      </c>
      <c r="K20" s="13" t="str">
        <f>IF('Personnel Yr 1'!$K$5&gt;1,IF(AND(OR(ISBLANK($I20),$I20=""),ISBLANK('Personnel Yr 1'!K20)),"",'Personnel Yr 1'!K20),"")</f>
        <v/>
      </c>
      <c r="L20" s="13" t="str">
        <f>IF('Personnel Yr 1'!$K$5&gt;1,IF(AND(OR(ISBLANK($I20),$I20=""),ISBLANK('Personnel Yr 1'!L20)),"",'Personnel Yr 1'!L20),"")</f>
        <v/>
      </c>
      <c r="M20" s="35" t="str">
        <f>IF('Personnel Yr 1'!$K$5&gt;1,IF(NOT(OR(ISBLANK(I20),I20="")), IF(OR(AND(ISBLANK(J20),ISBLANK(K20),ISBLANK(L20)),AND(J20="",K20="",L20="")),0, IF((AND((J20&gt;0),((K20+L20)&gt;0))),"Error", IF((J20&gt;0),ROUND((IF(AND('Personnel Yr 1'!$P$5&gt;0,I20&gt;'Personnel Yr 1'!$P$5),'Personnel Yr 1'!$P$5,I20)*(J20/12)),2),ROUND((IF(AND('Personnel Yr 1'!$P$5&gt;0,I20&gt;'Personnel Yr 1'!$P$5),'Personnel Yr 1'!$P$5,I20)*((K20+L20)/8.5)),2)))),""),"")</f>
        <v/>
      </c>
      <c r="N20" s="35" t="str">
        <f>IF('Personnel Yr 1'!$K$5&gt;1,IF(OR(ISBLANK(M20),M20=""),"",ROUND(SUM(U20:W20),2)),"")</f>
        <v/>
      </c>
      <c r="O20" s="36" t="str">
        <f>IF('Personnel Yr 1'!$K$5&gt;1,IF(OR(ISBLANK(N20),N20=""),"",ROUND(SUM(M20:N20),2)),"")</f>
        <v/>
      </c>
      <c r="P20" s="12"/>
      <c r="Q20" s="335">
        <f>IF('Personnel Yr 1'!$K$5&gt;1,IF(NOT(OR(ISBLANK(J20),J20="")),(I20/12)*J20,""),0)</f>
        <v>0</v>
      </c>
      <c r="R20" s="335">
        <f>IF('Personnel Yr 1'!$K$5&gt;1,IF(NOT(OR(ISBLANK(K20),K20="")),(I20/8.5)*K20,""),0)</f>
        <v>0</v>
      </c>
      <c r="S20" s="335">
        <f>IF('Personnel Yr 1'!$K$5&gt;1,IF(NOT(OR(ISBLANK(L20),L20="")),(I20/8.5)*L20,""),0)</f>
        <v>0</v>
      </c>
      <c r="U20" s="335">
        <f t="shared" ref="U20:U34" si="3">IF(OR(ISBLANK(Q20),Q20=""),0,Q20*_xlfn.XLOOKUP("*"&amp;H20&amp;"*",BenB,Per,,2))</f>
        <v>0</v>
      </c>
      <c r="V20" s="335">
        <f t="shared" ref="V20:V34" si="4">IF(OR(ISBLANK(R20),R20=""),0,R20*_xlfn.XLOOKUP("*"&amp;H20&amp;"*",BenB,Per,,2))</f>
        <v>0</v>
      </c>
      <c r="W20" s="335">
        <f t="shared" ref="W20:W34" si="5">IF(OR(ISBLANK(S20),S20=""),0,S20*_xlfn.XLOOKUP("Summer",Ben,Per))</f>
        <v>0</v>
      </c>
      <c r="Z20" s="335" t="b">
        <f>IF('Personnel Yr 1'!$K$5&gt;1,IF(OR($O$5&lt;&gt;"Federal - NIH",OR(AND(ISBLANK(J20),ISBLANK(K20),ISBLANK(L20)),AND(J20="",K20="",L20=""))),FALSE,IF(J20&gt;0,I20&gt;NIHSalaryCap,I20&gt;(NIHSalaryCap*8.5)/12)),FALSE)</f>
        <v>0</v>
      </c>
    </row>
    <row r="21" spans="1:26" x14ac:dyDescent="0.2">
      <c r="A21" s="4">
        <v>2</v>
      </c>
      <c r="B21" s="5" t="str">
        <f>IF('Personnel Yr 1'!$K$5&gt;1,IF(NOT(OR(ISBLANK('Personnel Yr 1'!B21),'Personnel Yr 1'!B21="")),'Personnel Yr 1'!B21,""),"")</f>
        <v/>
      </c>
      <c r="C21" s="17" t="str">
        <f>IF('Personnel Yr 1'!$K$5&gt;1,IF(ISBLANK('Personnel Yr 1'!C21),"",'Personnel Yr 1'!C21),"")</f>
        <v/>
      </c>
      <c r="D21" s="17" t="str">
        <f>IF('Personnel Yr 1'!$K$5&gt;1,IF(ISBLANK('Personnel Yr 1'!D21),"",'Personnel Yr 1'!D21),"")</f>
        <v/>
      </c>
      <c r="E21" s="17" t="str">
        <f>IF('Personnel Yr 1'!$K$5&gt;1,IF(ISBLANK('Personnel Yr 1'!E21),"",'Personnel Yr 1'!E21),"")</f>
        <v/>
      </c>
      <c r="F21" s="17" t="str">
        <f>IF('Personnel Yr 1'!$K$5&gt;1,IF(ISBLANK('Personnel Yr 1'!F21),"",'Personnel Yr 1'!F21),"")</f>
        <v/>
      </c>
      <c r="G21" s="17" t="str">
        <f>IF('Personnel Yr 1'!$K$5&gt;1,IF(ISBLANK('Personnel Yr 1'!G21),"",'Personnel Yr 1'!G21),"")</f>
        <v/>
      </c>
      <c r="H21" s="17" t="str">
        <f>IF('Personnel Yr 1'!$K$5&gt;1,IF(ISBLANK('Personnel Yr 1'!H21),"",'Personnel Yr 1'!H21),"")</f>
        <v/>
      </c>
      <c r="I21" s="32" t="str">
        <f>IF('Personnel Yr 1'!$K$5&gt;1,IF(NOT(ISBLANK('Personnel Yr 1'!I21)),(('Personnel Yr 1'!I21*'Personnel Yr 1'!$D$5)+'Personnel Yr 1'!I21),""),"")</f>
        <v/>
      </c>
      <c r="J21" s="17" t="str">
        <f>IF('Personnel Yr 1'!$K$5&gt;1,IF(AND(OR(ISBLANK($I21),$I21=""),ISBLANK('Personnel Yr 1'!J21)),"",'Personnel Yr 1'!J21),"")</f>
        <v/>
      </c>
      <c r="K21" s="17" t="str">
        <f>IF('Personnel Yr 1'!$K$5&gt;1,IF(AND(OR(ISBLANK($I21),$I21=""),ISBLANK('Personnel Yr 1'!K21)),"",'Personnel Yr 1'!K21),"")</f>
        <v/>
      </c>
      <c r="L21" s="17" t="str">
        <f>IF('Personnel Yr 1'!$K$5&gt;1,IF(AND(OR(ISBLANK($I21),$I21=""),ISBLANK('Personnel Yr 1'!L21)),"",'Personnel Yr 1'!L21),"")</f>
        <v/>
      </c>
      <c r="M21" s="34" t="str">
        <f>IF('Personnel Yr 1'!$K$5&gt;1,IF(NOT(OR(ISBLANK(I21),I21="")), IF(OR(AND(ISBLANK(J21),ISBLANK(K21),ISBLANK(L21)),AND(J21="",K21="",L21="")),0, IF((AND((J21&gt;0),((K21+L21)&gt;0))),"Error", IF((J21&gt;0),ROUND((IF(AND('Personnel Yr 1'!$P$5&gt;0,I21&gt;'Personnel Yr 1'!$P$5),'Personnel Yr 1'!$P$5,I21)*(J21/12)),2),ROUND((IF(AND('Personnel Yr 1'!$P$5&gt;0,I21&gt;'Personnel Yr 1'!$P$5),'Personnel Yr 1'!$P$5,I21)*((K21+L21)/8.5)),2)))),""),"")</f>
        <v/>
      </c>
      <c r="N21" s="34" t="str">
        <f>IF('Personnel Yr 1'!$K$5&gt;1,IF(OR(ISBLANK(M21),M21=""),"",ROUND(SUM(U21:W21),2)),"")</f>
        <v/>
      </c>
      <c r="O21" s="41" t="str">
        <f>IF('Personnel Yr 1'!$K$5&gt;1,IF(OR(ISBLANK(N21),N21=""),"",ROUND(SUM(M21:N21),2)),"")</f>
        <v/>
      </c>
      <c r="P21" s="187"/>
      <c r="Q21" s="335">
        <f>IF('Personnel Yr 1'!$K$5&gt;1,IF(NOT(OR(ISBLANK(J21),J21="")),(I21/12)*J21,""),0)</f>
        <v>0</v>
      </c>
      <c r="R21" s="335">
        <f>IF('Personnel Yr 1'!$K$5&gt;1,IF(NOT(OR(ISBLANK(K21),K21="")),(I21/8.5)*K21,""),0)</f>
        <v>0</v>
      </c>
      <c r="S21" s="335">
        <f>IF('Personnel Yr 1'!$K$5&gt;1,IF(NOT(OR(ISBLANK(L21),L21="")),(I21/8.5)*L21,""),0)</f>
        <v>0</v>
      </c>
      <c r="U21" s="335">
        <f t="shared" si="3"/>
        <v>0</v>
      </c>
      <c r="V21" s="335">
        <f t="shared" si="4"/>
        <v>0</v>
      </c>
      <c r="W21" s="335">
        <f t="shared" si="5"/>
        <v>0</v>
      </c>
      <c r="Z21" s="335" t="b">
        <f>IF('Personnel Yr 1'!$K$5&gt;1,IF(OR($O$5&lt;&gt;"Federal - NIH",OR(AND(ISBLANK(J21),ISBLANK(K21),ISBLANK(L21)),AND(J21="",K21="",L21=""))),FALSE,IF(J21&gt;0,I21&gt;NIHSalaryCap,I21&gt;(NIHSalaryCap*8.5)/12)),FALSE)</f>
        <v>0</v>
      </c>
    </row>
    <row r="22" spans="1:26" x14ac:dyDescent="0.2">
      <c r="A22" s="4">
        <v>3</v>
      </c>
      <c r="B22" s="5" t="str">
        <f>IF('Personnel Yr 1'!$K$5&gt;1,IF(NOT(OR(ISBLANK('Personnel Yr 1'!B22),'Personnel Yr 1'!B22="")),'Personnel Yr 1'!B22,""),"")</f>
        <v/>
      </c>
      <c r="C22" s="17" t="str">
        <f>IF('Personnel Yr 1'!$K$5&gt;1,IF(ISBLANK('Personnel Yr 1'!C22),"",'Personnel Yr 1'!C22),"")</f>
        <v/>
      </c>
      <c r="D22" s="17" t="str">
        <f>IF('Personnel Yr 1'!$K$5&gt;1,IF(ISBLANK('Personnel Yr 1'!D22),"",'Personnel Yr 1'!D22),"")</f>
        <v/>
      </c>
      <c r="E22" s="17" t="str">
        <f>IF('Personnel Yr 1'!$K$5&gt;1,IF(ISBLANK('Personnel Yr 1'!E22),"",'Personnel Yr 1'!E22),"")</f>
        <v/>
      </c>
      <c r="F22" s="17" t="str">
        <f>IF('Personnel Yr 1'!$K$5&gt;1,IF(ISBLANK('Personnel Yr 1'!F22),"",'Personnel Yr 1'!F22),"")</f>
        <v/>
      </c>
      <c r="G22" s="55" t="str">
        <f>IF('Personnel Yr 1'!$K$5&gt;1,IF(ISBLANK('Personnel Yr 1'!G22),"",'Personnel Yr 1'!G22),"")</f>
        <v/>
      </c>
      <c r="H22" s="17" t="str">
        <f>IF('Personnel Yr 1'!$K$5&gt;1,IF(ISBLANK('Personnel Yr 1'!H22),"",'Personnel Yr 1'!H22),"")</f>
        <v/>
      </c>
      <c r="I22" s="32" t="str">
        <f>IF('Personnel Yr 1'!$K$5&gt;1,IF(NOT(ISBLANK('Personnel Yr 1'!I22)),(('Personnel Yr 1'!I22*'Personnel Yr 1'!$D$5)+'Personnel Yr 1'!I22),""),"")</f>
        <v/>
      </c>
      <c r="J22" s="17" t="str">
        <f>IF('Personnel Yr 1'!$K$5&gt;1,IF(AND(OR(ISBLANK($I22),$I22=""),ISBLANK('Personnel Yr 1'!J22)),"",'Personnel Yr 1'!J22),"")</f>
        <v/>
      </c>
      <c r="K22" s="17" t="str">
        <f>IF('Personnel Yr 1'!$K$5&gt;1,IF(AND(OR(ISBLANK($I22),$I22=""),ISBLANK('Personnel Yr 1'!K22)),"",'Personnel Yr 1'!K22),"")</f>
        <v/>
      </c>
      <c r="L22" s="17" t="str">
        <f>IF('Personnel Yr 1'!$K$5&gt;1,IF(AND(OR(ISBLANK($I22),$I22=""),ISBLANK('Personnel Yr 1'!L22)),"",'Personnel Yr 1'!L22),"")</f>
        <v/>
      </c>
      <c r="M22" s="185" t="str">
        <f>IF('Personnel Yr 1'!$K$5&gt;1,IF(NOT(OR(ISBLANK(I22),I22="")), IF(OR(AND(ISBLANK(J22),ISBLANK(K22),ISBLANK(L22)),AND(J22="",K22="",L22="")),0, IF((AND((J22&gt;0),((K22+L22)&gt;0))),"Error", IF((J22&gt;0),ROUND((IF(AND('Personnel Yr 1'!$P$5&gt;0,I22&gt;'Personnel Yr 1'!$P$5),'Personnel Yr 1'!$P$5,I22)*(J22/12)),2),ROUND((IF(AND('Personnel Yr 1'!$P$5&gt;0,I22&gt;'Personnel Yr 1'!$P$5),'Personnel Yr 1'!$P$5,I22)*((K22+L22)/8.5)),2)))),""),"")</f>
        <v/>
      </c>
      <c r="N22" s="34" t="str">
        <f>IF('Personnel Yr 1'!$K$5&gt;1,IF(OR(ISBLANK(M22),M22=""),"",ROUND(SUM(U22:W22),2)),"")</f>
        <v/>
      </c>
      <c r="O22" s="41" t="str">
        <f>IF('Personnel Yr 1'!$K$5&gt;1,IF(OR(ISBLANK(N22),N22=""),"",ROUND(SUM(M22:N22),2)),"")</f>
        <v/>
      </c>
      <c r="P22" s="188"/>
      <c r="Q22" s="335">
        <f>IF('Personnel Yr 1'!$K$5&gt;1,IF(NOT(OR(ISBLANK(J22),J22="")),(I22/12)*J22,""),0)</f>
        <v>0</v>
      </c>
      <c r="R22" s="335">
        <f>IF('Personnel Yr 1'!$K$5&gt;1,IF(NOT(OR(ISBLANK(K22),K22="")),(I22/8.5)*K22,""),0)</f>
        <v>0</v>
      </c>
      <c r="S22" s="335">
        <f>IF('Personnel Yr 1'!$K$5&gt;1,IF(NOT(OR(ISBLANK(L22),L22="")),(I22/8.5)*L22,""),0)</f>
        <v>0</v>
      </c>
      <c r="U22" s="335">
        <f t="shared" si="3"/>
        <v>0</v>
      </c>
      <c r="V22" s="335">
        <f t="shared" si="4"/>
        <v>0</v>
      </c>
      <c r="W22" s="335">
        <f t="shared" si="5"/>
        <v>0</v>
      </c>
      <c r="Z22" s="335" t="b">
        <f>IF('Personnel Yr 1'!$K$5&gt;1,IF(OR($O$5&lt;&gt;"Federal - NIH",OR(AND(ISBLANK(J22),ISBLANK(K22),ISBLANK(L22)),AND(J22="",K22="",L22=""))),FALSE,IF(J22&gt;0,I22&gt;NIHSalaryCap,I22&gt;(NIHSalaryCap*8.5)/12)),FALSE)</f>
        <v>0</v>
      </c>
    </row>
    <row r="23" spans="1:26" x14ac:dyDescent="0.2">
      <c r="A23" s="4">
        <v>4</v>
      </c>
      <c r="B23" s="5" t="str">
        <f>IF('Personnel Yr 1'!$K$5&gt;1,IF(NOT(OR(ISBLANK('Personnel Yr 1'!B23),'Personnel Yr 1'!B23="")),'Personnel Yr 1'!B23,""),"")</f>
        <v/>
      </c>
      <c r="C23" s="17" t="str">
        <f>IF('Personnel Yr 1'!$K$5&gt;1,IF(ISBLANK('Personnel Yr 1'!C23),"",'Personnel Yr 1'!C23),"")</f>
        <v/>
      </c>
      <c r="D23" s="17" t="str">
        <f>IF('Personnel Yr 1'!$K$5&gt;1,IF(ISBLANK('Personnel Yr 1'!D23),"",'Personnel Yr 1'!D23),"")</f>
        <v/>
      </c>
      <c r="E23" s="17" t="str">
        <f>IF('Personnel Yr 1'!$K$5&gt;1,IF(ISBLANK('Personnel Yr 1'!E23),"",'Personnel Yr 1'!E23),"")</f>
        <v/>
      </c>
      <c r="F23" s="17" t="str">
        <f>IF('Personnel Yr 1'!$K$5&gt;1,IF(ISBLANK('Personnel Yr 1'!F23),"",'Personnel Yr 1'!F23),"")</f>
        <v/>
      </c>
      <c r="G23" s="56" t="str">
        <f>IF('Personnel Yr 1'!$K$5&gt;1,IF(ISBLANK('Personnel Yr 1'!G23),"",'Personnel Yr 1'!G23),"")</f>
        <v/>
      </c>
      <c r="H23" s="17" t="str">
        <f>IF('Personnel Yr 1'!$K$5&gt;1,IF(ISBLANK('Personnel Yr 1'!H23),"",'Personnel Yr 1'!H23),"")</f>
        <v/>
      </c>
      <c r="I23" s="32" t="str">
        <f>IF('Personnel Yr 1'!$K$5&gt;1,IF(NOT(ISBLANK('Personnel Yr 1'!I23)),(('Personnel Yr 1'!I23*'Personnel Yr 1'!$D$5)+'Personnel Yr 1'!I23),""),"")</f>
        <v/>
      </c>
      <c r="J23" s="17" t="str">
        <f>IF('Personnel Yr 1'!$K$5&gt;1,IF(AND(OR(ISBLANK($I23),$I23=""),ISBLANK('Personnel Yr 1'!J23)),"",'Personnel Yr 1'!J23),"")</f>
        <v/>
      </c>
      <c r="K23" s="17" t="str">
        <f>IF('Personnel Yr 1'!$K$5&gt;1,IF(AND(OR(ISBLANK($I23),$I23=""),ISBLANK('Personnel Yr 1'!K23)),"",'Personnel Yr 1'!K23),"")</f>
        <v/>
      </c>
      <c r="L23" s="17" t="str">
        <f>IF('Personnel Yr 1'!$K$5&gt;1,IF(AND(OR(ISBLANK($I23),$I23=""),ISBLANK('Personnel Yr 1'!L23)),"",'Personnel Yr 1'!L23),"")</f>
        <v/>
      </c>
      <c r="M23" s="186" t="str">
        <f>IF('Personnel Yr 1'!$K$5&gt;1,IF(NOT(OR(ISBLANK(I23),I23="")), IF(OR(AND(ISBLANK(J23),ISBLANK(K23),ISBLANK(L23)),AND(J23="",K23="",L23="")),0, IF((AND((J23&gt;0),((K23+L23)&gt;0))),"Error", IF((J23&gt;0),ROUND((IF(AND('Personnel Yr 1'!$P$5&gt;0,I23&gt;'Personnel Yr 1'!$P$5),'Personnel Yr 1'!$P$5,I23)*(J23/12)),2),ROUND((IF(AND('Personnel Yr 1'!$P$5&gt;0,I23&gt;'Personnel Yr 1'!$P$5),'Personnel Yr 1'!$P$5,I23)*((K23+L23)/8.5)),2)))),""),"")</f>
        <v/>
      </c>
      <c r="N23" s="34" t="str">
        <f>IF('Personnel Yr 1'!$K$5&gt;1,IF(OR(ISBLANK(M23),M23=""),"",ROUND(SUM(U23:W23),2)),"")</f>
        <v/>
      </c>
      <c r="O23" s="41" t="str">
        <f>IF('Personnel Yr 1'!$K$5&gt;1,IF(OR(ISBLANK(N23),N23=""),"",ROUND(SUM(M23:N23),2)),"")</f>
        <v/>
      </c>
      <c r="P23" s="15"/>
      <c r="Q23" s="335">
        <f>IF('Personnel Yr 1'!$K$5&gt;1,IF(NOT(OR(ISBLANK(J23),J23="")),(I23/12)*J23,""),0)</f>
        <v>0</v>
      </c>
      <c r="R23" s="335">
        <f>IF('Personnel Yr 1'!$K$5&gt;1,IF(NOT(OR(ISBLANK(K23),K23="")),(I23/8.5)*K23,""),0)</f>
        <v>0</v>
      </c>
      <c r="S23" s="335">
        <f>IF('Personnel Yr 1'!$K$5&gt;1,IF(NOT(OR(ISBLANK(L23),L23="")),(I23/8.5)*L23,""),0)</f>
        <v>0</v>
      </c>
      <c r="U23" s="335">
        <f t="shared" si="3"/>
        <v>0</v>
      </c>
      <c r="V23" s="335">
        <f t="shared" si="4"/>
        <v>0</v>
      </c>
      <c r="W23" s="335">
        <f t="shared" si="5"/>
        <v>0</v>
      </c>
      <c r="Z23" s="335" t="b">
        <f>IF('Personnel Yr 1'!$K$5&gt;1,IF(OR($O$5&lt;&gt;"Federal - NIH",OR(AND(ISBLANK(J23),ISBLANK(K23),ISBLANK(L23)),AND(J23="",K23="",L23=""))),FALSE,IF(J23&gt;0,I23&gt;NIHSalaryCap,I23&gt;(NIHSalaryCap*8.5)/12)),FALSE)</f>
        <v>0</v>
      </c>
    </row>
    <row r="24" spans="1:26" x14ac:dyDescent="0.2">
      <c r="A24" s="4">
        <v>5</v>
      </c>
      <c r="B24" s="5" t="str">
        <f>IF('Personnel Yr 1'!$K$5&gt;1,IF(NOT(OR(ISBLANK('Personnel Yr 1'!B24),'Personnel Yr 1'!B24="")),'Personnel Yr 1'!B24,""),"")</f>
        <v/>
      </c>
      <c r="C24" s="17" t="str">
        <f>IF('Personnel Yr 1'!$K$5&gt;1,IF(ISBLANK('Personnel Yr 1'!C24),"",'Personnel Yr 1'!C24),"")</f>
        <v/>
      </c>
      <c r="D24" s="17" t="str">
        <f>IF('Personnel Yr 1'!$K$5&gt;1,IF(ISBLANK('Personnel Yr 1'!D24),"",'Personnel Yr 1'!D24),"")</f>
        <v/>
      </c>
      <c r="E24" s="17" t="str">
        <f>IF('Personnel Yr 1'!$K$5&gt;1,IF(ISBLANK('Personnel Yr 1'!E24),"",'Personnel Yr 1'!E24),"")</f>
        <v/>
      </c>
      <c r="F24" s="17" t="str">
        <f>IF('Personnel Yr 1'!$K$5&gt;1,IF(ISBLANK('Personnel Yr 1'!F24),"",'Personnel Yr 1'!F24),"")</f>
        <v/>
      </c>
      <c r="G24" s="17" t="str">
        <f>IF('Personnel Yr 1'!$K$5&gt;1,IF(ISBLANK('Personnel Yr 1'!G24),"",'Personnel Yr 1'!G24),"")</f>
        <v/>
      </c>
      <c r="H24" s="17" t="str">
        <f>IF('Personnel Yr 1'!$K$5&gt;1,IF(ISBLANK('Personnel Yr 1'!H24),"",'Personnel Yr 1'!H24),"")</f>
        <v/>
      </c>
      <c r="I24" s="32" t="str">
        <f>IF('Personnel Yr 1'!$K$5&gt;1,IF(NOT(ISBLANK('Personnel Yr 1'!I24)),(('Personnel Yr 1'!I24*'Personnel Yr 1'!$D$5)+'Personnel Yr 1'!I24),""),"")</f>
        <v/>
      </c>
      <c r="J24" s="17" t="str">
        <f>IF('Personnel Yr 1'!$K$5&gt;1,IF(AND(OR(ISBLANK($I24),$I24=""),ISBLANK('Personnel Yr 1'!J24)),"",'Personnel Yr 1'!J24),"")</f>
        <v/>
      </c>
      <c r="K24" s="17" t="str">
        <f>IF('Personnel Yr 1'!$K$5&gt;1,IF(AND(OR(ISBLANK($I24),$I24=""),ISBLANK('Personnel Yr 1'!K24)),"",'Personnel Yr 1'!K24),"")</f>
        <v/>
      </c>
      <c r="L24" s="17" t="str">
        <f>IF('Personnel Yr 1'!$K$5&gt;1,IF(AND(OR(ISBLANK($I24),$I24=""),ISBLANK('Personnel Yr 1'!L24)),"",'Personnel Yr 1'!L24),"")</f>
        <v/>
      </c>
      <c r="M24" s="186" t="str">
        <f>IF('Personnel Yr 1'!$K$5&gt;1,IF(NOT(OR(ISBLANK(I24),I24="")), IF(OR(AND(ISBLANK(J24),ISBLANK(K24),ISBLANK(L24)),AND(J24="",K24="",L24="")),0, IF((AND((J24&gt;0),((K24+L24)&gt;0))),"Error", IF((J24&gt;0),ROUND((IF(AND('Personnel Yr 1'!$P$5&gt;0,I24&gt;'Personnel Yr 1'!$P$5),'Personnel Yr 1'!$P$5,I24)*(J24/12)),2),ROUND((IF(AND('Personnel Yr 1'!$P$5&gt;0,I24&gt;'Personnel Yr 1'!$P$5),'Personnel Yr 1'!$P$5,I24)*((K24+L24)/8.5)),2)))),""),"")</f>
        <v/>
      </c>
      <c r="N24" s="34" t="str">
        <f>IF('Personnel Yr 1'!$K$5&gt;1,IF(OR(ISBLANK(M24),M24=""),"",ROUND(SUM(U24:W24),2)),"")</f>
        <v/>
      </c>
      <c r="O24" s="41" t="str">
        <f>IF('Personnel Yr 1'!$K$5&gt;1,IF(OR(ISBLANK(N24),N24=""),"",ROUND(SUM(M24:N24),2)),"")</f>
        <v/>
      </c>
      <c r="P24" s="15"/>
      <c r="Q24" s="335">
        <f>IF('Personnel Yr 1'!$K$5&gt;1,IF(NOT(OR(ISBLANK(J24),J24="")),(I24/12)*J24,""),0)</f>
        <v>0</v>
      </c>
      <c r="R24" s="335">
        <f>IF('Personnel Yr 1'!$K$5&gt;1,IF(NOT(OR(ISBLANK(K24),K24="")),(I24/8.5)*K24,""),0)</f>
        <v>0</v>
      </c>
      <c r="S24" s="335">
        <f>IF('Personnel Yr 1'!$K$5&gt;1,IF(NOT(OR(ISBLANK(L24),L24="")),(I24/8.5)*L24,""),0)</f>
        <v>0</v>
      </c>
      <c r="U24" s="335">
        <f t="shared" si="3"/>
        <v>0</v>
      </c>
      <c r="V24" s="335">
        <f t="shared" si="4"/>
        <v>0</v>
      </c>
      <c r="W24" s="335">
        <f t="shared" si="5"/>
        <v>0</v>
      </c>
      <c r="Z24" s="335" t="b">
        <f>IF('Personnel Yr 1'!$K$5&gt;1,IF(OR($O$5&lt;&gt;"Federal - NIH",OR(AND(ISBLANK(J24),ISBLANK(K24),ISBLANK(L24)),AND(J24="",K24="",L24=""))),FALSE,IF(J24&gt;0,I24&gt;NIHSalaryCap,I24&gt;(NIHSalaryCap*8.5)/12)),FALSE)</f>
        <v>0</v>
      </c>
    </row>
    <row r="25" spans="1:26" x14ac:dyDescent="0.2">
      <c r="A25" s="4">
        <v>6</v>
      </c>
      <c r="B25" s="5" t="str">
        <f>IF('Personnel Yr 1'!$K$5&gt;1,IF(NOT(OR(ISBLANK('Personnel Yr 1'!B25),'Personnel Yr 1'!B25="")),'Personnel Yr 1'!B25,""),"")</f>
        <v/>
      </c>
      <c r="C25" s="17" t="str">
        <f>IF('Personnel Yr 1'!$K$5&gt;1,IF(ISBLANK('Personnel Yr 1'!C25),"",'Personnel Yr 1'!C25),"")</f>
        <v/>
      </c>
      <c r="D25" s="17" t="str">
        <f>IF('Personnel Yr 1'!$K$5&gt;1,IF(ISBLANK('Personnel Yr 1'!D25),"",'Personnel Yr 1'!D25),"")</f>
        <v/>
      </c>
      <c r="E25" s="17" t="str">
        <f>IF('Personnel Yr 1'!$K$5&gt;1,IF(ISBLANK('Personnel Yr 1'!E25),"",'Personnel Yr 1'!E25),"")</f>
        <v/>
      </c>
      <c r="F25" s="17" t="str">
        <f>IF('Personnel Yr 1'!$K$5&gt;1,IF(ISBLANK('Personnel Yr 1'!F25),"",'Personnel Yr 1'!F25),"")</f>
        <v/>
      </c>
      <c r="G25" s="17" t="str">
        <f>IF('Personnel Yr 1'!$K$5&gt;1,IF(ISBLANK('Personnel Yr 1'!G25),"",'Personnel Yr 1'!G25),"")</f>
        <v/>
      </c>
      <c r="H25" s="17" t="str">
        <f>IF('Personnel Yr 1'!$K$5&gt;1,IF(ISBLANK('Personnel Yr 1'!H25),"",'Personnel Yr 1'!H25),"")</f>
        <v/>
      </c>
      <c r="I25" s="32" t="str">
        <f>IF('Personnel Yr 1'!$K$5&gt;1,IF(NOT(ISBLANK('Personnel Yr 1'!I25)),(('Personnel Yr 1'!I25*'Personnel Yr 1'!$D$5)+'Personnel Yr 1'!I25),""),"")</f>
        <v/>
      </c>
      <c r="J25" s="17" t="str">
        <f>IF('Personnel Yr 1'!$K$5&gt;1,IF(AND(OR(ISBLANK($I25),$I25=""),ISBLANK('Personnel Yr 1'!J25)),"",'Personnel Yr 1'!J25),"")</f>
        <v/>
      </c>
      <c r="K25" s="17" t="str">
        <f>IF('Personnel Yr 1'!$K$5&gt;1,IF(AND(OR(ISBLANK($I25),$I25=""),ISBLANK('Personnel Yr 1'!K25)),"",'Personnel Yr 1'!K25),"")</f>
        <v/>
      </c>
      <c r="L25" s="17" t="str">
        <f>IF('Personnel Yr 1'!$K$5&gt;1,IF(AND(OR(ISBLANK($I25),$I25=""),ISBLANK('Personnel Yr 1'!L25)),"",'Personnel Yr 1'!L25),"")</f>
        <v/>
      </c>
      <c r="M25" s="34" t="str">
        <f>IF('Personnel Yr 1'!$K$5&gt;1,IF(NOT(OR(ISBLANK(I25),I25="")), IF(OR(AND(ISBLANK(J25),ISBLANK(K25),ISBLANK(L25)),AND(J25="",K25="",L25="")),0, IF((AND((J25&gt;0),((K25+L25)&gt;0))),"Error", IF((J25&gt;0),ROUND((IF(AND('Personnel Yr 1'!$P$5&gt;0,I25&gt;'Personnel Yr 1'!$P$5),'Personnel Yr 1'!$P$5,I25)*(J25/12)),2),ROUND((IF(AND('Personnel Yr 1'!$P$5&gt;0,I25&gt;'Personnel Yr 1'!$P$5),'Personnel Yr 1'!$P$5,I25)*((K25+L25)/8.5)),2)))),""),"")</f>
        <v/>
      </c>
      <c r="N25" s="34" t="str">
        <f>IF('Personnel Yr 1'!$K$5&gt;1,IF(OR(ISBLANK(M25),M25=""),"",ROUND(SUM(U25:W25),2)),"")</f>
        <v/>
      </c>
      <c r="O25" s="41" t="str">
        <f>IF('Personnel Yr 1'!$K$5&gt;1,IF(OR(ISBLANK(N25),N25=""),"",ROUND(SUM(M25:N25),2)),"")</f>
        <v/>
      </c>
      <c r="P25" s="187"/>
      <c r="Q25" s="335">
        <f>IF('Personnel Yr 1'!$K$5&gt;1,IF(NOT(OR(ISBLANK(J25),J25="")),(I25/12)*J25,""),0)</f>
        <v>0</v>
      </c>
      <c r="R25" s="335">
        <f>IF('Personnel Yr 1'!$K$5&gt;1,IF(NOT(OR(ISBLANK(K25),K25="")),(I25/8.5)*K25,""),0)</f>
        <v>0</v>
      </c>
      <c r="S25" s="335">
        <f>IF('Personnel Yr 1'!$K$5&gt;1,IF(NOT(OR(ISBLANK(L25),L25="")),(I25/8.5)*L25,""),0)</f>
        <v>0</v>
      </c>
      <c r="U25" s="335">
        <f t="shared" si="3"/>
        <v>0</v>
      </c>
      <c r="V25" s="335">
        <f t="shared" si="4"/>
        <v>0</v>
      </c>
      <c r="W25" s="335">
        <f t="shared" si="5"/>
        <v>0</v>
      </c>
      <c r="Z25" s="335" t="b">
        <f>IF('Personnel Yr 1'!$K$5&gt;1,IF(OR($O$5&lt;&gt;"Federal - NIH",OR(AND(ISBLANK(J25),ISBLANK(K25),ISBLANK(L25)),AND(J25="",K25="",L25=""))),FALSE,IF(J25&gt;0,I25&gt;NIHSalaryCap,I25&gt;(NIHSalaryCap*8.5)/12)),FALSE)</f>
        <v>0</v>
      </c>
    </row>
    <row r="26" spans="1:26" x14ac:dyDescent="0.2">
      <c r="A26" s="4">
        <v>7</v>
      </c>
      <c r="B26" s="5" t="str">
        <f>IF('Personnel Yr 1'!$K$5&gt;1,IF(NOT(OR(ISBLANK('Personnel Yr 1'!B26),'Personnel Yr 1'!B26="")),'Personnel Yr 1'!B26,""),"")</f>
        <v/>
      </c>
      <c r="C26" s="17" t="str">
        <f>IF('Personnel Yr 1'!$K$5&gt;1,IF(ISBLANK('Personnel Yr 1'!C26),"",'Personnel Yr 1'!C26),"")</f>
        <v/>
      </c>
      <c r="D26" s="17" t="str">
        <f>IF('Personnel Yr 1'!$K$5&gt;1,IF(ISBLANK('Personnel Yr 1'!D26),"",'Personnel Yr 1'!D26),"")</f>
        <v/>
      </c>
      <c r="E26" s="17" t="str">
        <f>IF('Personnel Yr 1'!$K$5&gt;1,IF(ISBLANK('Personnel Yr 1'!E26),"",'Personnel Yr 1'!E26),"")</f>
        <v/>
      </c>
      <c r="F26" s="17" t="str">
        <f>IF('Personnel Yr 1'!$K$5&gt;1,IF(ISBLANK('Personnel Yr 1'!F26),"",'Personnel Yr 1'!F26),"")</f>
        <v/>
      </c>
      <c r="G26" s="17" t="str">
        <f>IF('Personnel Yr 1'!$K$5&gt;1,IF(ISBLANK('Personnel Yr 1'!G26),"",'Personnel Yr 1'!G26),"")</f>
        <v/>
      </c>
      <c r="H26" s="17" t="str">
        <f>IF('Personnel Yr 1'!$K$5&gt;1,IF(ISBLANK('Personnel Yr 1'!H26),"",'Personnel Yr 1'!H26),"")</f>
        <v/>
      </c>
      <c r="I26" s="32" t="str">
        <f>IF('Personnel Yr 1'!$K$5&gt;1,IF(NOT(ISBLANK('Personnel Yr 1'!I26)),(('Personnel Yr 1'!I26*'Personnel Yr 1'!$D$5)+'Personnel Yr 1'!I26),""),"")</f>
        <v/>
      </c>
      <c r="J26" s="17" t="str">
        <f>IF('Personnel Yr 1'!$K$5&gt;1,IF(AND(OR(ISBLANK($I26),$I26=""),ISBLANK('Personnel Yr 1'!J26)),"",'Personnel Yr 1'!J26),"")</f>
        <v/>
      </c>
      <c r="K26" s="17" t="str">
        <f>IF('Personnel Yr 1'!$K$5&gt;1,IF(AND(OR(ISBLANK($I26),$I26=""),ISBLANK('Personnel Yr 1'!K26)),"",'Personnel Yr 1'!K26),"")</f>
        <v/>
      </c>
      <c r="L26" s="17" t="str">
        <f>IF('Personnel Yr 1'!$K$5&gt;1,IF(AND(OR(ISBLANK($I26),$I26=""),ISBLANK('Personnel Yr 1'!L26)),"",'Personnel Yr 1'!L26),"")</f>
        <v/>
      </c>
      <c r="M26" s="34" t="str">
        <f>IF('Personnel Yr 1'!$K$5&gt;1,IF(NOT(OR(ISBLANK(I26),I26="")), IF(OR(AND(ISBLANK(J26),ISBLANK(K26),ISBLANK(L26)),AND(J26="",K26="",L26="")),0, IF((AND((J26&gt;0),((K26+L26)&gt;0))),"Error", IF((J26&gt;0),ROUND((IF(AND('Personnel Yr 1'!$P$5&gt;0,I26&gt;'Personnel Yr 1'!$P$5),'Personnel Yr 1'!$P$5,I26)*(J26/12)),2),ROUND((IF(AND('Personnel Yr 1'!$P$5&gt;0,I26&gt;'Personnel Yr 1'!$P$5),'Personnel Yr 1'!$P$5,I26)*((K26+L26)/8.5)),2)))),""),"")</f>
        <v/>
      </c>
      <c r="N26" s="34" t="str">
        <f>IF('Personnel Yr 1'!$K$5&gt;1,IF(OR(ISBLANK(M26),M26=""),"",ROUND(SUM(U26:W26),2)),"")</f>
        <v/>
      </c>
      <c r="O26" s="41" t="str">
        <f>IF('Personnel Yr 1'!$K$5&gt;1,IF(OR(ISBLANK(N26),N26=""),"",ROUND(SUM(M26:N26),2)),"")</f>
        <v/>
      </c>
      <c r="P26" s="15"/>
      <c r="Q26" s="335">
        <f>IF('Personnel Yr 1'!$K$5&gt;1,IF(NOT(OR(ISBLANK(J26),J26="")),(I26/12)*J26,""),0)</f>
        <v>0</v>
      </c>
      <c r="R26" s="335">
        <f>IF('Personnel Yr 1'!$K$5&gt;1,IF(NOT(OR(ISBLANK(K26),K26="")),(I26/8.5)*K26,""),0)</f>
        <v>0</v>
      </c>
      <c r="S26" s="335">
        <f>IF('Personnel Yr 1'!$K$5&gt;1,IF(NOT(OR(ISBLANK(L26),L26="")),(I26/8.5)*L26,""),0)</f>
        <v>0</v>
      </c>
      <c r="U26" s="335">
        <f t="shared" si="3"/>
        <v>0</v>
      </c>
      <c r="V26" s="335">
        <f t="shared" si="4"/>
        <v>0</v>
      </c>
      <c r="W26" s="335">
        <f t="shared" si="5"/>
        <v>0</v>
      </c>
      <c r="Z26" s="335" t="b">
        <f>IF('Personnel Yr 1'!$K$5&gt;1,IF(OR($O$5&lt;&gt;"Federal - NIH",OR(AND(ISBLANK(J26),ISBLANK(K26),ISBLANK(L26)),AND(J26="",K26="",L26=""))),FALSE,IF(J26&gt;0,I26&gt;NIHSalaryCap,I26&gt;(NIHSalaryCap*8.5)/12)),FALSE)</f>
        <v>0</v>
      </c>
    </row>
    <row r="27" spans="1:26" x14ac:dyDescent="0.2">
      <c r="A27" s="4">
        <v>8</v>
      </c>
      <c r="B27" s="57" t="str">
        <f>IF('Personnel Yr 1'!$K$5&gt;1,IF(NOT(OR(ISBLANK('Personnel Yr 1'!B27),'Personnel Yr 1'!B27="")),'Personnel Yr 1'!B27,""),"")</f>
        <v/>
      </c>
      <c r="C27" s="54" t="str">
        <f>IF('Personnel Yr 1'!$K$5&gt;1,IF(ISBLANK('Personnel Yr 1'!C27),"",'Personnel Yr 1'!C27),"")</f>
        <v/>
      </c>
      <c r="D27" s="54" t="str">
        <f>IF('Personnel Yr 1'!$K$5&gt;1,IF(ISBLANK('Personnel Yr 1'!D27),"",'Personnel Yr 1'!D27),"")</f>
        <v/>
      </c>
      <c r="E27" s="54" t="str">
        <f>IF('Personnel Yr 1'!$K$5&gt;1,IF(ISBLANK('Personnel Yr 1'!E27),"",'Personnel Yr 1'!E27),"")</f>
        <v/>
      </c>
      <c r="F27" s="54" t="str">
        <f>IF('Personnel Yr 1'!$K$5&gt;1,IF(ISBLANK('Personnel Yr 1'!F27),"",'Personnel Yr 1'!F27),"")</f>
        <v/>
      </c>
      <c r="G27" s="54" t="str">
        <f>IF('Personnel Yr 1'!$K$5&gt;1,IF(ISBLANK('Personnel Yr 1'!G27),"",'Personnel Yr 1'!G27),"")</f>
        <v/>
      </c>
      <c r="H27" s="17" t="str">
        <f>IF('Personnel Yr 1'!$K$5&gt;1,IF(ISBLANK('Personnel Yr 1'!H27),"",'Personnel Yr 1'!H27),"")</f>
        <v/>
      </c>
      <c r="I27" s="32" t="str">
        <f>IF('Personnel Yr 1'!$K$5&gt;1,IF(NOT(ISBLANK('Personnel Yr 1'!I27)),(('Personnel Yr 1'!I27*'Personnel Yr 1'!$D$5)+'Personnel Yr 1'!I27),""),"")</f>
        <v/>
      </c>
      <c r="J27" s="17" t="str">
        <f>IF('Personnel Yr 1'!$K$5&gt;1,IF(AND(OR(ISBLANK($I27),$I27=""),ISBLANK('Personnel Yr 1'!J27)),"",'Personnel Yr 1'!J27),"")</f>
        <v/>
      </c>
      <c r="K27" s="17" t="str">
        <f>IF('Personnel Yr 1'!$K$5&gt;1,IF(AND(OR(ISBLANK($I27),$I27=""),ISBLANK('Personnel Yr 1'!K27)),"",'Personnel Yr 1'!K27),"")</f>
        <v/>
      </c>
      <c r="L27" s="17" t="str">
        <f>IF('Personnel Yr 1'!$K$5&gt;1,IF(AND(OR(ISBLANK($I27),$I27=""),ISBLANK('Personnel Yr 1'!L27)),"",'Personnel Yr 1'!L27),"")</f>
        <v/>
      </c>
      <c r="M27" s="185" t="str">
        <f>IF('Personnel Yr 1'!$K$5&gt;1,IF(NOT(OR(ISBLANK(I27),I27="")), IF(OR(AND(ISBLANK(J27),ISBLANK(K27),ISBLANK(L27)),AND(J27="",K27="",L27="")),0, IF((AND((J27&gt;0),((K27+L27)&gt;0))),"Error", IF((J27&gt;0),ROUND((IF(AND('Personnel Yr 1'!$P$5&gt;0,I27&gt;'Personnel Yr 1'!$P$5),'Personnel Yr 1'!$P$5,I27)*(J27/12)),2),ROUND((IF(AND('Personnel Yr 1'!$P$5&gt;0,I27&gt;'Personnel Yr 1'!$P$5),'Personnel Yr 1'!$P$5,I27)*((K27+L27)/8.5)),2)))),""),"")</f>
        <v/>
      </c>
      <c r="N27" s="39" t="str">
        <f>IF('Personnel Yr 1'!$K$5&gt;1,IF(OR(ISBLANK(M27),M27=""),"",ROUND(SUM(U27:W27),2)),"")</f>
        <v/>
      </c>
      <c r="O27" s="40" t="str">
        <f>IF('Personnel Yr 1'!$K$5&gt;1,IF(OR(ISBLANK(N27),N27=""),"",ROUND(SUM(M27:N27),2)),"")</f>
        <v/>
      </c>
      <c r="P27" s="14"/>
      <c r="Q27" s="335">
        <f>IF('Personnel Yr 1'!$K$5&gt;1,IF(NOT(OR(ISBLANK(J27),J27="")),(I27/12)*J27,""),0)</f>
        <v>0</v>
      </c>
      <c r="R27" s="335">
        <f>IF('Personnel Yr 1'!$K$5&gt;1,IF(NOT(OR(ISBLANK(K27),K27="")),(I27/8.5)*K27,""),0)</f>
        <v>0</v>
      </c>
      <c r="S27" s="335">
        <f>IF('Personnel Yr 1'!$K$5&gt;1,IF(NOT(OR(ISBLANK(L27),L27="")),(I27/8.5)*L27,""),0)</f>
        <v>0</v>
      </c>
      <c r="U27" s="335">
        <f t="shared" si="3"/>
        <v>0</v>
      </c>
      <c r="V27" s="335">
        <f t="shared" si="4"/>
        <v>0</v>
      </c>
      <c r="W27" s="335">
        <f t="shared" si="5"/>
        <v>0</v>
      </c>
      <c r="Z27" s="335" t="b">
        <f>IF('Personnel Yr 1'!$K$5&gt;1,IF(OR($O$5&lt;&gt;"Federal - NIH",OR(AND(ISBLANK(J27),ISBLANK(K27),ISBLANK(L27)),AND(J27="",K27="",L27=""))),FALSE,IF(J27&gt;0,I27&gt;NIHSalaryCap,I27&gt;(NIHSalaryCap*8.5)/12)),FALSE)</f>
        <v>0</v>
      </c>
    </row>
    <row r="28" spans="1:26" x14ac:dyDescent="0.2">
      <c r="A28" s="4">
        <v>9</v>
      </c>
      <c r="B28" s="5" t="str">
        <f>IF('Personnel Yr 1'!$K$5&gt;1,IF(NOT(OR(ISBLANK('Personnel Yr 1'!B28),'Personnel Yr 1'!B28="")),'Personnel Yr 1'!B28,""),"")</f>
        <v/>
      </c>
      <c r="C28" s="17" t="str">
        <f>IF('Personnel Yr 1'!$K$5&gt;1,IF(ISBLANK('Personnel Yr 1'!C28),"",'Personnel Yr 1'!C28),"")</f>
        <v/>
      </c>
      <c r="D28" s="17" t="str">
        <f>IF('Personnel Yr 1'!$K$5&gt;1,IF(ISBLANK('Personnel Yr 1'!D28),"",'Personnel Yr 1'!D28),"")</f>
        <v/>
      </c>
      <c r="E28" s="17" t="str">
        <f>IF('Personnel Yr 1'!$K$5&gt;1,IF(ISBLANK('Personnel Yr 1'!E28),"",'Personnel Yr 1'!E28),"")</f>
        <v/>
      </c>
      <c r="F28" s="17" t="str">
        <f>IF('Personnel Yr 1'!$K$5&gt;1,IF(ISBLANK('Personnel Yr 1'!F28),"",'Personnel Yr 1'!F28),"")</f>
        <v/>
      </c>
      <c r="G28" s="56" t="str">
        <f>IF('Personnel Yr 1'!$K$5&gt;1,IF(ISBLANK('Personnel Yr 1'!G28),"",'Personnel Yr 1'!G28),"")</f>
        <v/>
      </c>
      <c r="H28" s="17" t="str">
        <f>IF('Personnel Yr 1'!$K$5&gt;1,IF(ISBLANK('Personnel Yr 1'!H28),"",'Personnel Yr 1'!H28),"")</f>
        <v/>
      </c>
      <c r="I28" s="32" t="str">
        <f>IF('Personnel Yr 1'!$K$5&gt;1,IF(NOT(ISBLANK('Personnel Yr 1'!I28)),(('Personnel Yr 1'!I28*'Personnel Yr 1'!$D$5)+'Personnel Yr 1'!I28),""),"")</f>
        <v/>
      </c>
      <c r="J28" s="17" t="str">
        <f>IF('Personnel Yr 1'!$K$5&gt;1,IF(AND(OR(ISBLANK($I28),$I28=""),ISBLANK('Personnel Yr 1'!J28)),"",'Personnel Yr 1'!J28),"")</f>
        <v/>
      </c>
      <c r="K28" s="17" t="str">
        <f>IF('Personnel Yr 1'!$K$5&gt;1,IF(AND(OR(ISBLANK($I28),$I28=""),ISBLANK('Personnel Yr 1'!K28)),"",'Personnel Yr 1'!K28),"")</f>
        <v/>
      </c>
      <c r="L28" s="17" t="str">
        <f>IF('Personnel Yr 1'!$K$5&gt;1,IF(AND(OR(ISBLANK($I28),$I28=""),ISBLANK('Personnel Yr 1'!L28)),"",'Personnel Yr 1'!L28),"")</f>
        <v/>
      </c>
      <c r="M28" s="186" t="str">
        <f>IF('Personnel Yr 1'!$K$5&gt;1,IF(NOT(OR(ISBLANK(I28),I28="")), IF(OR(AND(ISBLANK(J28),ISBLANK(K28),ISBLANK(L28)),AND(J28="",K28="",L28="")),0, IF((AND((J28&gt;0),((K28+L28)&gt;0))),"Error", IF((J28&gt;0),ROUND((IF(AND('Personnel Yr 1'!$P$5&gt;0,I28&gt;'Personnel Yr 1'!$P$5),'Personnel Yr 1'!$P$5,I28)*(J28/12)),2),ROUND((IF(AND('Personnel Yr 1'!$P$5&gt;0,I28&gt;'Personnel Yr 1'!$P$5),'Personnel Yr 1'!$P$5,I28)*((K28+L28)/8.5)),2)))),""),"")</f>
        <v/>
      </c>
      <c r="N28" s="34" t="str">
        <f>IF('Personnel Yr 1'!$K$5&gt;1,IF(OR(ISBLANK(M28),M28=""),"",ROUND(SUM(U28:W28),2)),"")</f>
        <v/>
      </c>
      <c r="O28" s="41" t="str">
        <f>IF('Personnel Yr 1'!$K$5&gt;1,IF(OR(ISBLANK(N28),N28=""),"",ROUND(SUM(M28:N28),2)),"")</f>
        <v/>
      </c>
      <c r="P28" s="15"/>
      <c r="Q28" s="335">
        <f>IF('Personnel Yr 1'!$K$5&gt;1,IF(NOT(OR(ISBLANK(J28),J28="")),(I28/12)*J28,""),0)</f>
        <v>0</v>
      </c>
      <c r="R28" s="335">
        <f>IF('Personnel Yr 1'!$K$5&gt;1,IF(NOT(OR(ISBLANK(K28),K28="")),(I28/8.5)*K28,""),0)</f>
        <v>0</v>
      </c>
      <c r="S28" s="335">
        <f>IF('Personnel Yr 1'!$K$5&gt;1,IF(NOT(OR(ISBLANK(L28),L28="")),(I28/8.5)*L28,""),0)</f>
        <v>0</v>
      </c>
      <c r="U28" s="335">
        <f t="shared" si="3"/>
        <v>0</v>
      </c>
      <c r="V28" s="335">
        <f t="shared" si="4"/>
        <v>0</v>
      </c>
      <c r="W28" s="335">
        <f t="shared" si="5"/>
        <v>0</v>
      </c>
      <c r="Z28" s="335" t="b">
        <f>IF('Personnel Yr 1'!$K$5&gt;1,IF(OR($O$5&lt;&gt;"Federal - NIH",OR(AND(ISBLANK(J28),ISBLANK(K28),ISBLANK(L28)),AND(J28="",K28="",L28=""))),FALSE,IF(J28&gt;0,I28&gt;NIHSalaryCap,I28&gt;(NIHSalaryCap*8.5)/12)),FALSE)</f>
        <v>0</v>
      </c>
    </row>
    <row r="29" spans="1:26" x14ac:dyDescent="0.2">
      <c r="A29" s="4">
        <v>10</v>
      </c>
      <c r="B29" s="5" t="str">
        <f>IF('Personnel Yr 1'!$K$5&gt;1,IF(NOT(OR(ISBLANK('Personnel Yr 1'!B29),'Personnel Yr 1'!B29="")),'Personnel Yr 1'!B29,""),"")</f>
        <v/>
      </c>
      <c r="C29" s="17" t="str">
        <f>IF('Personnel Yr 1'!$K$5&gt;1,IF(ISBLANK('Personnel Yr 1'!C29),"",'Personnel Yr 1'!C29),"")</f>
        <v/>
      </c>
      <c r="D29" s="17" t="str">
        <f>IF('Personnel Yr 1'!$K$5&gt;1,IF(ISBLANK('Personnel Yr 1'!D29),"",'Personnel Yr 1'!D29),"")</f>
        <v/>
      </c>
      <c r="E29" s="17" t="str">
        <f>IF('Personnel Yr 1'!$K$5&gt;1,IF(ISBLANK('Personnel Yr 1'!E29),"",'Personnel Yr 1'!E29),"")</f>
        <v/>
      </c>
      <c r="F29" s="17" t="str">
        <f>IF('Personnel Yr 1'!$K$5&gt;1,IF(ISBLANK('Personnel Yr 1'!F29),"",'Personnel Yr 1'!F29),"")</f>
        <v/>
      </c>
      <c r="G29" s="17" t="str">
        <f>IF('Personnel Yr 1'!$K$5&gt;1,IF(ISBLANK('Personnel Yr 1'!G29),"",'Personnel Yr 1'!G29),"")</f>
        <v/>
      </c>
      <c r="H29" s="17" t="str">
        <f>IF('Personnel Yr 1'!$K$5&gt;1,IF(ISBLANK('Personnel Yr 1'!H29),"",'Personnel Yr 1'!H29),"")</f>
        <v/>
      </c>
      <c r="I29" s="32" t="str">
        <f>IF('Personnel Yr 1'!$K$5&gt;1,IF(NOT(ISBLANK('Personnel Yr 1'!I29)),(('Personnel Yr 1'!I29*'Personnel Yr 1'!$D$5)+'Personnel Yr 1'!I29),""),"")</f>
        <v/>
      </c>
      <c r="J29" s="17" t="str">
        <f>IF('Personnel Yr 1'!$K$5&gt;1,IF(AND(OR(ISBLANK($I29),$I29=""),ISBLANK('Personnel Yr 1'!J29)),"",'Personnel Yr 1'!J29),"")</f>
        <v/>
      </c>
      <c r="K29" s="17" t="str">
        <f>IF('Personnel Yr 1'!$K$5&gt;1,IF(AND(OR(ISBLANK($I29),$I29=""),ISBLANK('Personnel Yr 1'!K29)),"",'Personnel Yr 1'!K29),"")</f>
        <v/>
      </c>
      <c r="L29" s="17" t="str">
        <f>IF('Personnel Yr 1'!$K$5&gt;1,IF(AND(OR(ISBLANK($I29),$I29=""),ISBLANK('Personnel Yr 1'!L29)),"",'Personnel Yr 1'!L29),"")</f>
        <v/>
      </c>
      <c r="M29" s="186" t="str">
        <f>IF('Personnel Yr 1'!$K$5&gt;1,IF(NOT(OR(ISBLANK(I29),I29="")), IF(OR(AND(ISBLANK(J29),ISBLANK(K29),ISBLANK(L29)),AND(J29="",K29="",L29="")),0, IF((AND((J29&gt;0),((K29+L29)&gt;0))),"Error", IF((J29&gt;0),ROUND((IF(AND('Personnel Yr 1'!$P$5&gt;0,I29&gt;'Personnel Yr 1'!$P$5),'Personnel Yr 1'!$P$5,I29)*(J29/12)),2),ROUND((IF(AND('Personnel Yr 1'!$P$5&gt;0,I29&gt;'Personnel Yr 1'!$P$5),'Personnel Yr 1'!$P$5,I29)*((K29+L29)/8.5)),2)))),""),"")</f>
        <v/>
      </c>
      <c r="N29" s="34" t="str">
        <f>IF('Personnel Yr 1'!$K$5&gt;1,IF(OR(ISBLANK(M29),M29=""),"",ROUND(SUM(U29:W29),2)),"")</f>
        <v/>
      </c>
      <c r="O29" s="41" t="str">
        <f>IF('Personnel Yr 1'!$K$5&gt;1,IF(OR(ISBLANK(N29),N29=""),"",ROUND(SUM(M29:N29),2)),"")</f>
        <v/>
      </c>
      <c r="P29" s="15"/>
      <c r="Q29" s="335">
        <f>IF('Personnel Yr 1'!$K$5&gt;1,IF(NOT(OR(ISBLANK(J29),J29="")),(I29/12)*J29,""),0)</f>
        <v>0</v>
      </c>
      <c r="R29" s="335">
        <f>IF('Personnel Yr 1'!$K$5&gt;1,IF(NOT(OR(ISBLANK(K29),K29="")),(I29/8.5)*K29,""),0)</f>
        <v>0</v>
      </c>
      <c r="S29" s="335">
        <f>IF('Personnel Yr 1'!$K$5&gt;1,IF(NOT(OR(ISBLANK(L29),L29="")),(I29/8.5)*L29,""),0)</f>
        <v>0</v>
      </c>
      <c r="U29" s="335">
        <f t="shared" si="3"/>
        <v>0</v>
      </c>
      <c r="V29" s="335">
        <f t="shared" si="4"/>
        <v>0</v>
      </c>
      <c r="W29" s="335">
        <f t="shared" si="5"/>
        <v>0</v>
      </c>
      <c r="Z29" s="335" t="b">
        <f>IF('Personnel Yr 1'!$K$5&gt;1,IF(OR($O$5&lt;&gt;"Federal - NIH",OR(AND(ISBLANK(J29),ISBLANK(K29),ISBLANK(L29)),AND(J29="",K29="",L29=""))),FALSE,IF(J29&gt;0,I29&gt;NIHSalaryCap,I29&gt;(NIHSalaryCap*8.5)/12)),FALSE)</f>
        <v>0</v>
      </c>
    </row>
    <row r="30" spans="1:26" x14ac:dyDescent="0.2">
      <c r="A30" s="4">
        <v>11</v>
      </c>
      <c r="B30" s="5" t="str">
        <f>IF('Personnel Yr 1'!$K$5&gt;1,IF(NOT(OR(ISBLANK('Personnel Yr 1'!B30),'Personnel Yr 1'!B30="")),'Personnel Yr 1'!B30,""),"")</f>
        <v/>
      </c>
      <c r="C30" s="17" t="str">
        <f>IF('Personnel Yr 1'!$K$5&gt;1,IF(ISBLANK('Personnel Yr 1'!C30),"",'Personnel Yr 1'!C30),"")</f>
        <v/>
      </c>
      <c r="D30" s="17" t="str">
        <f>IF('Personnel Yr 1'!$K$5&gt;1,IF(ISBLANK('Personnel Yr 1'!D30),"",'Personnel Yr 1'!D30),"")</f>
        <v/>
      </c>
      <c r="E30" s="17" t="str">
        <f>IF('Personnel Yr 1'!$K$5&gt;1,IF(ISBLANK('Personnel Yr 1'!E30),"",'Personnel Yr 1'!E30),"")</f>
        <v/>
      </c>
      <c r="F30" s="17" t="str">
        <f>IF('Personnel Yr 1'!$K$5&gt;1,IF(ISBLANK('Personnel Yr 1'!F30),"",'Personnel Yr 1'!F30),"")</f>
        <v/>
      </c>
      <c r="G30" s="17" t="str">
        <f>IF('Personnel Yr 1'!$K$5&gt;1,IF(ISBLANK('Personnel Yr 1'!G30),"",'Personnel Yr 1'!G30),"")</f>
        <v/>
      </c>
      <c r="H30" s="17" t="str">
        <f>IF('Personnel Yr 1'!$K$5&gt;1,IF(ISBLANK('Personnel Yr 1'!H30),"",'Personnel Yr 1'!H30),"")</f>
        <v/>
      </c>
      <c r="I30" s="32" t="str">
        <f>IF('Personnel Yr 1'!$K$5&gt;1,IF(NOT(ISBLANK('Personnel Yr 1'!I30)),(('Personnel Yr 1'!I30*'Personnel Yr 1'!$D$5)+'Personnel Yr 1'!I30),""),"")</f>
        <v/>
      </c>
      <c r="J30" s="17" t="str">
        <f>IF('Personnel Yr 1'!$K$5&gt;1,IF(AND(OR(ISBLANK($I30),$I30=""),ISBLANK('Personnel Yr 1'!J30)),"",'Personnel Yr 1'!J30),"")</f>
        <v/>
      </c>
      <c r="K30" s="17" t="str">
        <f>IF('Personnel Yr 1'!$K$5&gt;1,IF(AND(OR(ISBLANK($I30),$I30=""),ISBLANK('Personnel Yr 1'!K30)),"",'Personnel Yr 1'!K30),"")</f>
        <v/>
      </c>
      <c r="L30" s="17" t="str">
        <f>IF('Personnel Yr 1'!$K$5&gt;1,IF(AND(OR(ISBLANK($I30),$I30=""),ISBLANK('Personnel Yr 1'!L30)),"",'Personnel Yr 1'!L30),"")</f>
        <v/>
      </c>
      <c r="M30" s="34" t="str">
        <f>IF('Personnel Yr 1'!$K$5&gt;1,IF(NOT(OR(ISBLANK(I30),I30="")), IF(OR(AND(ISBLANK(J30),ISBLANK(K30),ISBLANK(L30)),AND(J30="",K30="",L30="")),0, IF((AND((J30&gt;0),((K30+L30)&gt;0))),"Error", IF((J30&gt;0),ROUND((IF(AND('Personnel Yr 1'!$P$5&gt;0,I30&gt;'Personnel Yr 1'!$P$5),'Personnel Yr 1'!$P$5,I30)*(J30/12)),2),ROUND((IF(AND('Personnel Yr 1'!$P$5&gt;0,I30&gt;'Personnel Yr 1'!$P$5),'Personnel Yr 1'!$P$5,I30)*((K30+L30)/8.5)),2)))),""),"")</f>
        <v/>
      </c>
      <c r="N30" s="34" t="str">
        <f>IF('Personnel Yr 1'!$K$5&gt;1,IF(OR(ISBLANK(M30),M30=""),"",ROUND(SUM(U30:W30),2)),"")</f>
        <v/>
      </c>
      <c r="O30" s="41" t="str">
        <f>IF('Personnel Yr 1'!$K$5&gt;1,IF(OR(ISBLANK(N30),N30=""),"",ROUND(SUM(M30:N30),2)),"")</f>
        <v/>
      </c>
      <c r="P30" s="187"/>
      <c r="Q30" s="335">
        <f>IF('Personnel Yr 1'!$K$5&gt;1,IF(NOT(OR(ISBLANK(J30),J30="")),(I30/12)*J30,""),0)</f>
        <v>0</v>
      </c>
      <c r="R30" s="335">
        <f>IF('Personnel Yr 1'!$K$5&gt;1,IF(NOT(OR(ISBLANK(K30),K30="")),(I30/8.5)*K30,""),0)</f>
        <v>0</v>
      </c>
      <c r="S30" s="335">
        <f>IF('Personnel Yr 1'!$K$5&gt;1,IF(NOT(OR(ISBLANK(L30),L30="")),(I30/8.5)*L30,""),0)</f>
        <v>0</v>
      </c>
      <c r="U30" s="335">
        <f t="shared" si="3"/>
        <v>0</v>
      </c>
      <c r="V30" s="335">
        <f t="shared" si="4"/>
        <v>0</v>
      </c>
      <c r="W30" s="335">
        <f t="shared" si="5"/>
        <v>0</v>
      </c>
      <c r="Z30" s="335" t="b">
        <f>IF('Personnel Yr 1'!$K$5&gt;1,IF(OR($O$5&lt;&gt;"Federal - NIH",OR(AND(ISBLANK(J30),ISBLANK(K30),ISBLANK(L30)),AND(J30="",K30="",L30=""))),FALSE,IF(J30&gt;0,I30&gt;NIHSalaryCap,I30&gt;(NIHSalaryCap*8.5)/12)),FALSE)</f>
        <v>0</v>
      </c>
    </row>
    <row r="31" spans="1:26" x14ac:dyDescent="0.2">
      <c r="A31" s="4">
        <v>12</v>
      </c>
      <c r="B31" s="5" t="str">
        <f>IF('Personnel Yr 1'!$K$5&gt;1,IF(NOT(OR(ISBLANK('Personnel Yr 1'!B31),'Personnel Yr 1'!B31="")),'Personnel Yr 1'!B31,""),"")</f>
        <v/>
      </c>
      <c r="C31" s="17" t="str">
        <f>IF('Personnel Yr 1'!$K$5&gt;1,IF(ISBLANK('Personnel Yr 1'!C31),"",'Personnel Yr 1'!C31),"")</f>
        <v/>
      </c>
      <c r="D31" s="17" t="str">
        <f>IF('Personnel Yr 1'!$K$5&gt;1,IF(ISBLANK('Personnel Yr 1'!D31),"",'Personnel Yr 1'!D31),"")</f>
        <v/>
      </c>
      <c r="E31" s="17" t="str">
        <f>IF('Personnel Yr 1'!$K$5&gt;1,IF(ISBLANK('Personnel Yr 1'!E31),"",'Personnel Yr 1'!E31),"")</f>
        <v/>
      </c>
      <c r="F31" s="17" t="str">
        <f>IF('Personnel Yr 1'!$K$5&gt;1,IF(ISBLANK('Personnel Yr 1'!F31),"",'Personnel Yr 1'!F31),"")</f>
        <v/>
      </c>
      <c r="G31" s="17" t="str">
        <f>IF('Personnel Yr 1'!$K$5&gt;1,IF(ISBLANK('Personnel Yr 1'!G31),"",'Personnel Yr 1'!G31),"")</f>
        <v/>
      </c>
      <c r="H31" s="17" t="str">
        <f>IF('Personnel Yr 1'!$K$5&gt;1,IF(ISBLANK('Personnel Yr 1'!H31),"",'Personnel Yr 1'!H31),"")</f>
        <v/>
      </c>
      <c r="I31" s="32" t="str">
        <f>IF('Personnel Yr 1'!$K$5&gt;1,IF(NOT(ISBLANK('Personnel Yr 1'!I31)),(('Personnel Yr 1'!I31*'Personnel Yr 1'!$D$5)+'Personnel Yr 1'!I31),""),"")</f>
        <v/>
      </c>
      <c r="J31" s="17" t="str">
        <f>IF('Personnel Yr 1'!$K$5&gt;1,IF(AND(OR(ISBLANK($I31),$I31=""),ISBLANK('Personnel Yr 1'!J31)),"",'Personnel Yr 1'!J31),"")</f>
        <v/>
      </c>
      <c r="K31" s="17" t="str">
        <f>IF('Personnel Yr 1'!$K$5&gt;1,IF(AND(OR(ISBLANK($I31),$I31=""),ISBLANK('Personnel Yr 1'!K31)),"",'Personnel Yr 1'!K31),"")</f>
        <v/>
      </c>
      <c r="L31" s="17" t="str">
        <f>IF('Personnel Yr 1'!$K$5&gt;1,IF(AND(OR(ISBLANK($I31),$I31=""),ISBLANK('Personnel Yr 1'!L31)),"",'Personnel Yr 1'!L31),"")</f>
        <v/>
      </c>
      <c r="M31" s="34" t="str">
        <f>IF('Personnel Yr 1'!$K$5&gt;1,IF(NOT(OR(ISBLANK(I31),I31="")), IF(OR(AND(ISBLANK(J31),ISBLANK(K31),ISBLANK(L31)),AND(J31="",K31="",L31="")),0, IF((AND((J31&gt;0),((K31+L31)&gt;0))),"Error", IF((J31&gt;0),ROUND((IF(AND('Personnel Yr 1'!$P$5&gt;0,I31&gt;'Personnel Yr 1'!$P$5),'Personnel Yr 1'!$P$5,I31)*(J31/12)),2),ROUND((IF(AND('Personnel Yr 1'!$P$5&gt;0,I31&gt;'Personnel Yr 1'!$P$5),'Personnel Yr 1'!$P$5,I31)*((K31+L31)/8.5)),2)))),""),"")</f>
        <v/>
      </c>
      <c r="N31" s="34" t="str">
        <f>IF('Personnel Yr 1'!$K$5&gt;1,IF(OR(ISBLANK(M31),M31=""),"",ROUND(SUM(U31:W31),2)),"")</f>
        <v/>
      </c>
      <c r="O31" s="41" t="str">
        <f>IF('Personnel Yr 1'!$K$5&gt;1,IF(OR(ISBLANK(N31),N31=""),"",ROUND(SUM(M31:N31),2)),"")</f>
        <v/>
      </c>
      <c r="P31" s="15"/>
      <c r="Q31" s="335">
        <f>IF('Personnel Yr 1'!$K$5&gt;1,IF(NOT(OR(ISBLANK(J31),J31="")),(I31/12)*J31,""),0)</f>
        <v>0</v>
      </c>
      <c r="R31" s="335">
        <f>IF('Personnel Yr 1'!$K$5&gt;1,IF(NOT(OR(ISBLANK(K31),K31="")),(I31/8.5)*K31,""),0)</f>
        <v>0</v>
      </c>
      <c r="S31" s="335">
        <f>IF('Personnel Yr 1'!$K$5&gt;1,IF(NOT(OR(ISBLANK(L31),L31="")),(I31/8.5)*L31,""),0)</f>
        <v>0</v>
      </c>
      <c r="U31" s="335">
        <f t="shared" si="3"/>
        <v>0</v>
      </c>
      <c r="V31" s="335">
        <f t="shared" si="4"/>
        <v>0</v>
      </c>
      <c r="W31" s="335">
        <f t="shared" si="5"/>
        <v>0</v>
      </c>
      <c r="Z31" s="335" t="b">
        <f>IF('Personnel Yr 1'!$K$5&gt;1,IF(OR($O$5&lt;&gt;"Federal - NIH",OR(AND(ISBLANK(J31),ISBLANK(K31),ISBLANK(L31)),AND(J31="",K31="",L31=""))),FALSE,IF(J31&gt;0,I31&gt;NIHSalaryCap,I31&gt;(NIHSalaryCap*8.5)/12)),FALSE)</f>
        <v>0</v>
      </c>
    </row>
    <row r="32" spans="1:26" x14ac:dyDescent="0.2">
      <c r="A32" s="4">
        <v>13</v>
      </c>
      <c r="B32" s="57" t="str">
        <f>IF('Personnel Yr 1'!$K$5&gt;1,IF(NOT(OR(ISBLANK('Personnel Yr 1'!B32),'Personnel Yr 1'!B32="")),'Personnel Yr 1'!B32,""),"")</f>
        <v/>
      </c>
      <c r="C32" s="54" t="str">
        <f>IF('Personnel Yr 1'!$K$5&gt;1,IF(ISBLANK('Personnel Yr 1'!C32),"",'Personnel Yr 1'!C32),"")</f>
        <v/>
      </c>
      <c r="D32" s="54" t="str">
        <f>IF('Personnel Yr 1'!$K$5&gt;1,IF(ISBLANK('Personnel Yr 1'!D32),"",'Personnel Yr 1'!D32),"")</f>
        <v/>
      </c>
      <c r="E32" s="54" t="str">
        <f>IF('Personnel Yr 1'!$K$5&gt;1,IF(ISBLANK('Personnel Yr 1'!E32),"",'Personnel Yr 1'!E32),"")</f>
        <v/>
      </c>
      <c r="F32" s="54" t="str">
        <f>IF('Personnel Yr 1'!$K$5&gt;1,IF(ISBLANK('Personnel Yr 1'!F32),"",'Personnel Yr 1'!F32),"")</f>
        <v/>
      </c>
      <c r="G32" s="54" t="str">
        <f>IF('Personnel Yr 1'!$K$5&gt;1,IF(ISBLANK('Personnel Yr 1'!G32),"",'Personnel Yr 1'!G32),"")</f>
        <v/>
      </c>
      <c r="H32" s="17" t="str">
        <f>IF('Personnel Yr 1'!$K$5&gt;1,IF(ISBLANK('Personnel Yr 1'!H32),"",'Personnel Yr 1'!H32),"")</f>
        <v/>
      </c>
      <c r="I32" s="32" t="str">
        <f>IF('Personnel Yr 1'!$K$5&gt;1,IF(NOT(ISBLANK('Personnel Yr 1'!I32)),(('Personnel Yr 1'!I32*'Personnel Yr 1'!$D$5)+'Personnel Yr 1'!I32),""),"")</f>
        <v/>
      </c>
      <c r="J32" s="17" t="str">
        <f>IF('Personnel Yr 1'!$K$5&gt;1,IF(AND(OR(ISBLANK($I32),$I32=""),ISBLANK('Personnel Yr 1'!J32)),"",'Personnel Yr 1'!J32),"")</f>
        <v/>
      </c>
      <c r="K32" s="17" t="str">
        <f>IF('Personnel Yr 1'!$K$5&gt;1,IF(AND(OR(ISBLANK($I32),$I32=""),ISBLANK('Personnel Yr 1'!K32)),"",'Personnel Yr 1'!K32),"")</f>
        <v/>
      </c>
      <c r="L32" s="17" t="str">
        <f>IF('Personnel Yr 1'!$K$5&gt;1,IF(AND(OR(ISBLANK($I32),$I32=""),ISBLANK('Personnel Yr 1'!L32)),"",'Personnel Yr 1'!L32),"")</f>
        <v/>
      </c>
      <c r="M32" s="185" t="str">
        <f>IF('Personnel Yr 1'!$K$5&gt;1,IF(NOT(OR(ISBLANK(I32),I32="")), IF(OR(AND(ISBLANK(J32),ISBLANK(K32),ISBLANK(L32)),AND(J32="",K32="",L32="")),0, IF((AND((J32&gt;0),((K32+L32)&gt;0))),"Error", IF((J32&gt;0),ROUND((IF(AND('Personnel Yr 1'!$P$5&gt;0,I32&gt;'Personnel Yr 1'!$P$5),'Personnel Yr 1'!$P$5,I32)*(J32/12)),2),ROUND((IF(AND('Personnel Yr 1'!$P$5&gt;0,I32&gt;'Personnel Yr 1'!$P$5),'Personnel Yr 1'!$P$5,I32)*((K32+L32)/8.5)),2)))),""),"")</f>
        <v/>
      </c>
      <c r="N32" s="39" t="str">
        <f>IF('Personnel Yr 1'!$K$5&gt;1,IF(OR(ISBLANK(M32),M32=""),"",ROUND(SUM(U32:W32),2)),"")</f>
        <v/>
      </c>
      <c r="O32" s="40" t="str">
        <f>IF('Personnel Yr 1'!$K$5&gt;1,IF(OR(ISBLANK(N32),N32=""),"",ROUND(SUM(M32:N32),2)),"")</f>
        <v/>
      </c>
      <c r="P32" s="14"/>
      <c r="Q32" s="335">
        <f>IF('Personnel Yr 1'!$K$5&gt;1,IF(NOT(OR(ISBLANK(J32),J32="")),(I32/12)*J32,""),0)</f>
        <v>0</v>
      </c>
      <c r="R32" s="335">
        <f>IF('Personnel Yr 1'!$K$5&gt;1,IF(NOT(OR(ISBLANK(K32),K32="")),(I32/8.5)*K32,""),0)</f>
        <v>0</v>
      </c>
      <c r="S32" s="335">
        <f>IF('Personnel Yr 1'!$K$5&gt;1,IF(NOT(OR(ISBLANK(L32),L32="")),(I32/8.5)*L32,""),0)</f>
        <v>0</v>
      </c>
      <c r="U32" s="335">
        <f t="shared" si="3"/>
        <v>0</v>
      </c>
      <c r="V32" s="335">
        <f t="shared" si="4"/>
        <v>0</v>
      </c>
      <c r="W32" s="335">
        <f t="shared" si="5"/>
        <v>0</v>
      </c>
      <c r="Z32" s="335" t="b">
        <f>IF('Personnel Yr 1'!$K$5&gt;1,IF(OR($O$5&lt;&gt;"Federal - NIH",OR(AND(ISBLANK(J32),ISBLANK(K32),ISBLANK(L32)),AND(J32="",K32="",L32=""))),FALSE,IF(J32&gt;0,I32&gt;NIHSalaryCap,I32&gt;(NIHSalaryCap*8.5)/12)),FALSE)</f>
        <v>0</v>
      </c>
    </row>
    <row r="33" spans="1:26" x14ac:dyDescent="0.2">
      <c r="A33" s="4">
        <v>14</v>
      </c>
      <c r="B33" s="5" t="str">
        <f>IF('Personnel Yr 1'!$K$5&gt;1,IF(NOT(OR(ISBLANK('Personnel Yr 1'!B33),'Personnel Yr 1'!B33="")),'Personnel Yr 1'!B33,""),"")</f>
        <v/>
      </c>
      <c r="C33" s="17" t="str">
        <f>IF('Personnel Yr 1'!$K$5&gt;1,IF(ISBLANK('Personnel Yr 1'!C33),"",'Personnel Yr 1'!C33),"")</f>
        <v/>
      </c>
      <c r="D33" s="17" t="str">
        <f>IF('Personnel Yr 1'!$K$5&gt;1,IF(ISBLANK('Personnel Yr 1'!D33),"",'Personnel Yr 1'!D33),"")</f>
        <v/>
      </c>
      <c r="E33" s="17" t="str">
        <f>IF('Personnel Yr 1'!$K$5&gt;1,IF(ISBLANK('Personnel Yr 1'!E33),"",'Personnel Yr 1'!E33),"")</f>
        <v/>
      </c>
      <c r="F33" s="17" t="str">
        <f>IF('Personnel Yr 1'!$K$5&gt;1,IF(ISBLANK('Personnel Yr 1'!F33),"",'Personnel Yr 1'!F33),"")</f>
        <v/>
      </c>
      <c r="G33" s="17" t="str">
        <f>IF('Personnel Yr 1'!$K$5&gt;1,IF(ISBLANK('Personnel Yr 1'!G33),"",'Personnel Yr 1'!G33),"")</f>
        <v/>
      </c>
      <c r="H33" s="17" t="str">
        <f>IF('Personnel Yr 1'!$K$5&gt;1,IF(ISBLANK('Personnel Yr 1'!H33),"",'Personnel Yr 1'!H33),"")</f>
        <v/>
      </c>
      <c r="I33" s="32" t="str">
        <f>IF('Personnel Yr 1'!$K$5&gt;1,IF(NOT(ISBLANK('Personnel Yr 1'!I33)),(('Personnel Yr 1'!I33*'Personnel Yr 1'!$D$5)+'Personnel Yr 1'!I33),""),"")</f>
        <v/>
      </c>
      <c r="J33" s="17" t="str">
        <f>IF('Personnel Yr 1'!$K$5&gt;1,IF(AND(OR(ISBLANK($I33),$I33=""),ISBLANK('Personnel Yr 1'!J33)),"",'Personnel Yr 1'!J33),"")</f>
        <v/>
      </c>
      <c r="K33" s="17" t="str">
        <f>IF('Personnel Yr 1'!$K$5&gt;1,IF(AND(OR(ISBLANK($I33),$I33=""),ISBLANK('Personnel Yr 1'!K33)),"",'Personnel Yr 1'!K33),"")</f>
        <v/>
      </c>
      <c r="L33" s="17" t="str">
        <f>IF('Personnel Yr 1'!$K$5&gt;1,IF(AND(OR(ISBLANK($I33),$I33=""),ISBLANK('Personnel Yr 1'!L33)),"",'Personnel Yr 1'!L33),"")</f>
        <v/>
      </c>
      <c r="M33" s="34" t="str">
        <f>IF('Personnel Yr 1'!$K$5&gt;1,IF(NOT(OR(ISBLANK(I33),I33="")), IF(OR(AND(ISBLANK(J33),ISBLANK(K33),ISBLANK(L33)),AND(J33="",K33="",L33="")),0, IF((AND((J33&gt;0),((K33+L33)&gt;0))),"Error", IF((J33&gt;0),ROUND((IF(AND('Personnel Yr 1'!$P$5&gt;0,I33&gt;'Personnel Yr 1'!$P$5),'Personnel Yr 1'!$P$5,I33)*(J33/12)),2),ROUND((IF(AND('Personnel Yr 1'!$P$5&gt;0,I33&gt;'Personnel Yr 1'!$P$5),'Personnel Yr 1'!$P$5,I33)*((K33+L33)/8.5)),2)))),""),"")</f>
        <v/>
      </c>
      <c r="N33" s="34" t="str">
        <f>IF('Personnel Yr 1'!$K$5&gt;1,IF(OR(ISBLANK(M33),M33=""),"",ROUND(SUM(U33:W33),2)),"")</f>
        <v/>
      </c>
      <c r="O33" s="41" t="str">
        <f>IF('Personnel Yr 1'!$K$5&gt;1,IF(OR(ISBLANK(N33),N33=""),"",ROUND(SUM(M33:N33),2)),"")</f>
        <v/>
      </c>
      <c r="P33" s="187"/>
      <c r="Q33" s="335">
        <f>IF('Personnel Yr 1'!$K$5&gt;1,IF(NOT(OR(ISBLANK(J33),J33="")),(I33/12)*J33,""),0)</f>
        <v>0</v>
      </c>
      <c r="R33" s="335">
        <f>IF('Personnel Yr 1'!$K$5&gt;1,IF(NOT(OR(ISBLANK(K33),K33="")),(I33/8.5)*K33,""),0)</f>
        <v>0</v>
      </c>
      <c r="S33" s="335">
        <f>IF('Personnel Yr 1'!$K$5&gt;1,IF(NOT(OR(ISBLANK(L33),L33="")),(I33/8.5)*L33,""),0)</f>
        <v>0</v>
      </c>
      <c r="U33" s="335">
        <f t="shared" si="3"/>
        <v>0</v>
      </c>
      <c r="V33" s="335">
        <f t="shared" si="4"/>
        <v>0</v>
      </c>
      <c r="W33" s="335">
        <f t="shared" si="5"/>
        <v>0</v>
      </c>
      <c r="Z33" s="335" t="b">
        <f>IF('Personnel Yr 1'!$K$5&gt;1,IF(OR($O$5&lt;&gt;"Federal - NIH",OR(AND(ISBLANK(J33),ISBLANK(K33),ISBLANK(L33)),AND(J33="",K33="",L33=""))),FALSE,IF(J33&gt;0,I33&gt;NIHSalaryCap,I33&gt;(NIHSalaryCap*8.5)/12)),FALSE)</f>
        <v>0</v>
      </c>
    </row>
    <row r="34" spans="1:26" ht="12.75" customHeight="1" thickBot="1" x14ac:dyDescent="0.25">
      <c r="A34" s="4">
        <v>15</v>
      </c>
      <c r="B34" s="202" t="str">
        <f>IF('Personnel Yr 1'!$K$5&gt;1,IF(NOT(OR(ISBLANK('Personnel Yr 1'!B34),'Personnel Yr 1'!B34="")),'Personnel Yr 1'!B34,""),"")</f>
        <v/>
      </c>
      <c r="C34" s="22" t="str">
        <f>IF('Personnel Yr 1'!$K$5&gt;1,IF(ISBLANK('Personnel Yr 1'!C34),"",'Personnel Yr 1'!C34),"")</f>
        <v/>
      </c>
      <c r="D34" s="22" t="str">
        <f>IF('Personnel Yr 1'!$K$5&gt;1,IF(ISBLANK('Personnel Yr 1'!D34),"",'Personnel Yr 1'!D34),"")</f>
        <v/>
      </c>
      <c r="E34" s="22" t="str">
        <f>IF('Personnel Yr 1'!$K$5&gt;1,IF(ISBLANK('Personnel Yr 1'!E34),"",'Personnel Yr 1'!E34),"")</f>
        <v/>
      </c>
      <c r="F34" s="22" t="str">
        <f>IF('Personnel Yr 1'!$K$5&gt;1,IF(ISBLANK('Personnel Yr 1'!F34),"",'Personnel Yr 1'!F34),"")</f>
        <v/>
      </c>
      <c r="G34" s="206" t="str">
        <f>IF('Personnel Yr 1'!$K$5&gt;1,IF(ISBLANK('Personnel Yr 1'!G34),"",'Personnel Yr 1'!G34),"")</f>
        <v/>
      </c>
      <c r="H34" s="22" t="str">
        <f>IF('Personnel Yr 1'!$K$5&gt;1,IF(ISBLANK('Personnel Yr 1'!H34),"",'Personnel Yr 1'!H34),"")</f>
        <v/>
      </c>
      <c r="I34" s="33" t="str">
        <f>IF('Personnel Yr 1'!$K$5&gt;1,IF(NOT(ISBLANK('Personnel Yr 1'!I34)),(('Personnel Yr 1'!I34*'Personnel Yr 1'!$D$5)+'Personnel Yr 1'!I34),""),"")</f>
        <v/>
      </c>
      <c r="J34" s="22" t="str">
        <f>IF('Personnel Yr 1'!$K$5&gt;1,IF(AND(OR(ISBLANK($I34),$I34=""),ISBLANK('Personnel Yr 1'!J34)),"",'Personnel Yr 1'!J34),"")</f>
        <v/>
      </c>
      <c r="K34" s="22" t="str">
        <f>IF('Personnel Yr 1'!$K$5&gt;1,IF(AND(OR(ISBLANK($I34),$I34=""),ISBLANK('Personnel Yr 1'!K34)),"",'Personnel Yr 1'!K34),"")</f>
        <v/>
      </c>
      <c r="L34" s="22" t="str">
        <f>IF('Personnel Yr 1'!$K$5&gt;1,IF(AND(OR(ISBLANK($I34),$I34=""),ISBLANK('Personnel Yr 1'!L34)),"",'Personnel Yr 1'!L34),"")</f>
        <v/>
      </c>
      <c r="M34" s="207" t="str">
        <f>IF('Personnel Yr 1'!$K$5&gt;1,IF(NOT(OR(ISBLANK(I34),I34="")), IF(OR(AND(ISBLANK(J34),ISBLANK(K34),ISBLANK(L34)),AND(J34="",K34="",L34="")),0, IF((AND((J34&gt;0),((K34+L34)&gt;0))),"Error", IF((J34&gt;0),ROUND((IF(AND('Personnel Yr 1'!$P$5&gt;0,I34&gt;'Personnel Yr 1'!$P$5),'Personnel Yr 1'!$P$5,I34)*(J34/12)),2),ROUND((IF(AND('Personnel Yr 1'!$P$5&gt;0,I34&gt;'Personnel Yr 1'!$P$5),'Personnel Yr 1'!$P$5,I34)*((K34+L34)/8.5)),2)))),""),"")</f>
        <v/>
      </c>
      <c r="N34" s="207" t="str">
        <f>IF('Personnel Yr 1'!$K$5&gt;1,IF(OR(ISBLANK(M34),M34=""),"",ROUND(SUM(U34:W34),2)),"")</f>
        <v/>
      </c>
      <c r="O34" s="208" t="str">
        <f>IF('Personnel Yr 1'!$K$5&gt;1,IF(OR(ISBLANK(N34),N34=""),"",ROUND(SUM(M34:N34),2)),"")</f>
        <v/>
      </c>
      <c r="P34" s="189"/>
      <c r="Q34" s="335">
        <f>IF('Personnel Yr 1'!$K$5&gt;1,IF(NOT(OR(ISBLANK(J34),J34="")),(I34/12)*J34,""),0)</f>
        <v>0</v>
      </c>
      <c r="R34" s="335">
        <f>IF('Personnel Yr 1'!$K$5&gt;1,IF(NOT(OR(ISBLANK(K34),K34="")),(I34/8.5)*K34,""),0)</f>
        <v>0</v>
      </c>
      <c r="S34" s="335">
        <f>IF('Personnel Yr 1'!$K$5&gt;1,IF(NOT(OR(ISBLANK(L34),L34="")),(I34/8.5)*L34,""),0)</f>
        <v>0</v>
      </c>
      <c r="U34" s="335">
        <f t="shared" si="3"/>
        <v>0</v>
      </c>
      <c r="V34" s="335">
        <f t="shared" si="4"/>
        <v>0</v>
      </c>
      <c r="W34" s="335">
        <f t="shared" si="5"/>
        <v>0</v>
      </c>
      <c r="Z34" s="335" t="b">
        <f>IF('Personnel Yr 1'!$K$5&gt;1,IF(OR($O$5&lt;&gt;"Federal - NIH",OR(AND(ISBLANK(J34),ISBLANK(K34),ISBLANK(L34)),AND(J34="",K34="",L34=""))),FALSE,IF(J34&gt;0,I34&gt;NIHSalaryCap,I34&gt;(NIHSalaryCap*8.5)/12)),FALSE)</f>
        <v>0</v>
      </c>
    </row>
    <row r="35" spans="1:26" ht="13.5" thickBot="1" x14ac:dyDescent="0.25">
      <c r="B35" s="20">
        <f>ROWS(E20:E34)-COUNTIF(E20:E34,"")</f>
        <v>0</v>
      </c>
      <c r="O35" s="45">
        <f>SUM(O20:O34)</f>
        <v>0</v>
      </c>
      <c r="Q35" s="335">
        <f>SUM(Q20:Q34)</f>
        <v>0</v>
      </c>
      <c r="R35" s="335">
        <f t="shared" ref="R35:W35" si="6">SUM(R20:R34)</f>
        <v>0</v>
      </c>
      <c r="S35" s="335">
        <f t="shared" si="6"/>
        <v>0</v>
      </c>
      <c r="T35" s="335">
        <f t="shared" si="6"/>
        <v>0</v>
      </c>
      <c r="U35" s="335">
        <f t="shared" si="6"/>
        <v>0</v>
      </c>
      <c r="V35" s="335">
        <f t="shared" si="6"/>
        <v>0</v>
      </c>
      <c r="W35" s="335">
        <f t="shared" si="6"/>
        <v>0</v>
      </c>
    </row>
    <row r="36" spans="1:26" x14ac:dyDescent="0.2">
      <c r="K36" s="9"/>
      <c r="L36" s="9"/>
      <c r="M36" s="9"/>
      <c r="N36" s="9"/>
    </row>
    <row r="37" spans="1:26" x14ac:dyDescent="0.2">
      <c r="B37" s="516" t="s">
        <v>6</v>
      </c>
      <c r="C37" s="516"/>
      <c r="D37" s="545" t="s">
        <v>577</v>
      </c>
      <c r="E37" s="546"/>
      <c r="F37" s="546"/>
      <c r="G37" s="546"/>
      <c r="H37" s="546"/>
      <c r="I37" s="546"/>
      <c r="J37" s="546"/>
      <c r="K37" s="546"/>
      <c r="L37" s="546"/>
    </row>
    <row r="38" spans="1:26" ht="26.25" thickBot="1" x14ac:dyDescent="0.25">
      <c r="B38" s="10" t="s">
        <v>7</v>
      </c>
      <c r="C38" s="11"/>
      <c r="D38" s="11"/>
      <c r="E38" s="11"/>
      <c r="F38" s="11"/>
      <c r="G38" s="11"/>
      <c r="H38" s="404"/>
      <c r="I38" s="2" t="s">
        <v>61</v>
      </c>
      <c r="J38" s="2" t="s">
        <v>56</v>
      </c>
      <c r="K38" s="2" t="s">
        <v>57</v>
      </c>
      <c r="L38" s="2" t="s">
        <v>58</v>
      </c>
      <c r="M38" s="2" t="s">
        <v>41</v>
      </c>
      <c r="N38" s="3" t="s">
        <v>42</v>
      </c>
      <c r="O38" s="3" t="s">
        <v>38</v>
      </c>
      <c r="P38" s="2" t="s">
        <v>224</v>
      </c>
    </row>
    <row r="39" spans="1:26" x14ac:dyDescent="0.2">
      <c r="B39" s="12" t="str">
        <f>IF('Personnel Yr 1'!$K$5&gt;1,IF(OR(ISBLANK('Personnel Yr 1'!B39),'Personnel Yr 1'!B39=""),"",'Personnel Yr 1'!B39),"")</f>
        <v/>
      </c>
      <c r="C39" s="547" t="s">
        <v>538</v>
      </c>
      <c r="D39" s="548"/>
      <c r="E39" s="548"/>
      <c r="F39" s="548"/>
      <c r="G39" s="548"/>
      <c r="H39" s="548"/>
      <c r="I39" s="549"/>
      <c r="J39" s="419" t="str">
        <f>IF('Personnel Yr 1'!$K$5&gt;1,IF(OR(ISBLANK('Personnel Yr 1'!J39),'Personnel Yr 1'!J39=""),"",'Personnel Yr 1'!J39),"")</f>
        <v/>
      </c>
      <c r="K39" s="419" t="str">
        <f>IF('Personnel Yr 1'!$K$5&gt;1,IF(OR(ISBLANK('Personnel Yr 1'!K39),'Personnel Yr 1'!K39=""),"",'Personnel Yr 1'!K39),"")</f>
        <v/>
      </c>
      <c r="L39" s="419" t="str">
        <f>IF('Personnel Yr 1'!$K$5&gt;1,IF(OR(ISBLANK('Personnel Yr 1'!L39),'Personnel Yr 1'!L39=""),"",'Personnel Yr 1'!L39),"")</f>
        <v/>
      </c>
      <c r="M39" s="35" t="str">
        <f t="shared" ref="M39:M48" si="7">IF(COUNTIF($G$53:$G$67,C39)=0,"",SUMIF($G$53:$G$72,C39,$M$53:$M$72))</f>
        <v/>
      </c>
      <c r="N39" s="35" t="str">
        <f>IF(M39="","",ROUND(M39*_xlfn.XLOOKUP("Full",Ben,Per),2))</f>
        <v/>
      </c>
      <c r="O39" s="36" t="str">
        <f t="shared" ref="O39:O48" si="8">IF(M39="","",ROUND(SUM(M39:N39),2))</f>
        <v/>
      </c>
      <c r="P39" s="282"/>
    </row>
    <row r="40" spans="1:26" x14ac:dyDescent="0.2">
      <c r="B40" s="15" t="str">
        <f>IF('Personnel Yr 1'!$K$5&gt;1,IF(OR(ISBLANK('Personnel Yr 1'!B40),'Personnel Yr 1'!B40=""),"",'Personnel Yr 1'!B40),"")</f>
        <v/>
      </c>
      <c r="C40" s="499" t="s">
        <v>529</v>
      </c>
      <c r="D40" s="553"/>
      <c r="E40" s="553"/>
      <c r="F40" s="553"/>
      <c r="G40" s="553"/>
      <c r="H40" s="553"/>
      <c r="I40" s="554"/>
      <c r="J40" s="420"/>
      <c r="K40" s="420"/>
      <c r="L40" s="420"/>
      <c r="M40" s="34" t="str">
        <f t="shared" si="7"/>
        <v/>
      </c>
      <c r="N40" s="34" t="str">
        <f>IF(M40="","",ROUND(M40*_xlfn.XLOOKUP("Full",Ben,Per),2))</f>
        <v/>
      </c>
      <c r="O40" s="41" t="str">
        <f t="shared" si="8"/>
        <v/>
      </c>
      <c r="P40" s="413"/>
    </row>
    <row r="41" spans="1:26" x14ac:dyDescent="0.2">
      <c r="B41" s="15" t="str">
        <f>IF('Personnel Yr 1'!$K$5&gt;1,IF(OR(ISBLANK('Personnel Yr 1'!B41),'Personnel Yr 1'!B41=""),"",'Personnel Yr 1'!B41),"")</f>
        <v/>
      </c>
      <c r="C41" s="499" t="s">
        <v>545</v>
      </c>
      <c r="D41" s="553"/>
      <c r="E41" s="553"/>
      <c r="F41" s="553"/>
      <c r="G41" s="553"/>
      <c r="H41" s="553"/>
      <c r="I41" s="554"/>
      <c r="J41" s="420"/>
      <c r="K41" s="420"/>
      <c r="L41" s="420"/>
      <c r="M41" s="34" t="str">
        <f t="shared" si="7"/>
        <v/>
      </c>
      <c r="N41" s="34" t="str">
        <f>IF(M41="","",ROUND(M41*_xlfn.XLOOKUP("Temp",Ben,Per),2))</f>
        <v/>
      </c>
      <c r="O41" s="41" t="str">
        <f t="shared" si="8"/>
        <v/>
      </c>
      <c r="P41" s="413"/>
    </row>
    <row r="42" spans="1:26" x14ac:dyDescent="0.2">
      <c r="B42" s="15" t="str">
        <f>IF('Personnel Yr 1'!$K$5&gt;1,IF(OR(ISBLANK('Personnel Yr 1'!B42),'Personnel Yr 1'!B42=""),"",'Personnel Yr 1'!B42),"")</f>
        <v/>
      </c>
      <c r="C42" s="511" t="s">
        <v>584</v>
      </c>
      <c r="D42" s="500"/>
      <c r="E42" s="500"/>
      <c r="F42" s="500"/>
      <c r="G42" s="500"/>
      <c r="H42" s="500"/>
      <c r="I42" s="512"/>
      <c r="J42" s="421" t="str">
        <f>IF('Personnel Yr 1'!$K$5&gt;1,IF(OR(ISBLANK('Personnel Yr 1'!J42),'Personnel Yr 1'!J42=""),"",'Personnel Yr 1'!J42),"")</f>
        <v/>
      </c>
      <c r="K42" s="421" t="str">
        <f>IF('Personnel Yr 1'!$K$5&gt;1,IF(OR(ISBLANK('Personnel Yr 1'!K42),'Personnel Yr 1'!K42=""),"",'Personnel Yr 1'!K42),"")</f>
        <v/>
      </c>
      <c r="L42" s="421" t="str">
        <f>IF('Personnel Yr 1'!$K$5&gt;1,IF(OR(ISBLANK('Personnel Yr 1'!L42),'Personnel Yr 1'!L42=""),"",'Personnel Yr 1'!L42),"")</f>
        <v/>
      </c>
      <c r="M42" s="34" t="str">
        <f t="shared" si="7"/>
        <v/>
      </c>
      <c r="N42" s="39" t="str">
        <f>IF(M42="","",ROUND(M42*_xlfn.XLOOKUP("Full",Ben,Per),2))</f>
        <v/>
      </c>
      <c r="O42" s="40" t="str">
        <f t="shared" si="8"/>
        <v/>
      </c>
      <c r="P42" s="283"/>
    </row>
    <row r="43" spans="1:26" x14ac:dyDescent="0.2">
      <c r="B43" s="15" t="str">
        <f>IF('Personnel Yr 1'!$K$5&gt;1,IF(OR(ISBLANK('Personnel Yr 1'!B43),'Personnel Yr 1'!B43=""),"",'Personnel Yr 1'!B43),"")</f>
        <v/>
      </c>
      <c r="C43" s="499" t="s">
        <v>578</v>
      </c>
      <c r="D43" s="500"/>
      <c r="E43" s="500"/>
      <c r="F43" s="500"/>
      <c r="G43" s="393"/>
      <c r="H43" s="393"/>
      <c r="I43" s="16" t="str">
        <f>IF('Personnel Yr 1'!$K$5&gt;1,IF(OR(ISBLANK('Personnel Yr 1'!I43),'Personnel Yr 1'!I43=""),"",'Personnel Yr 1'!I43),"")</f>
        <v/>
      </c>
      <c r="J43" s="422" t="str">
        <f>IF('Personnel Yr 1'!$K$5&gt;1,IF(OR(ISBLANK('Personnel Yr 1'!J43),'Personnel Yr 1'!J43=""),"",'Personnel Yr 1'!J43),"")</f>
        <v/>
      </c>
      <c r="K43" s="422" t="str">
        <f>IF('Personnel Yr 1'!$K$5&gt;1,IF(OR(ISBLANK('Personnel Yr 1'!K43),'Personnel Yr 1'!K43=""),"",'Personnel Yr 1'!K43),"")</f>
        <v/>
      </c>
      <c r="L43" s="422" t="str">
        <f>IF('Personnel Yr 1'!$K$5&gt;1,IF(OR(ISBLANK('Personnel Yr 1'!L43),'Personnel Yr 1'!L43=""),"",'Personnel Yr 1'!L43),"")</f>
        <v/>
      </c>
      <c r="M43" s="34" t="str">
        <f t="shared" si="7"/>
        <v/>
      </c>
      <c r="N43" s="37" t="str">
        <f>IF(M43="","",ROUND(M43*_xlfn.XLOOKUP(I43,Grad,GradR),2))</f>
        <v/>
      </c>
      <c r="O43" s="40" t="str">
        <f t="shared" si="8"/>
        <v/>
      </c>
      <c r="P43" s="283"/>
    </row>
    <row r="44" spans="1:26" x14ac:dyDescent="0.2">
      <c r="B44" s="15" t="str">
        <f>IF('Personnel Yr 1'!$K$5&gt;1,IF(OR(ISBLANK('Personnel Yr 1'!B44),'Personnel Yr 1'!B44=""),"",'Personnel Yr 1'!B44),"")</f>
        <v/>
      </c>
      <c r="C44" s="511" t="s">
        <v>583</v>
      </c>
      <c r="D44" s="500"/>
      <c r="E44" s="500"/>
      <c r="F44" s="500"/>
      <c r="G44" s="500"/>
      <c r="H44" s="500"/>
      <c r="I44" s="501"/>
      <c r="J44" s="423" t="str">
        <f>IF('Personnel Yr 1'!$K$5&gt;1,IF(OR(ISBLANK('Personnel Yr 1'!J44),'Personnel Yr 1'!J44=""),"",'Personnel Yr 1'!J44),"")</f>
        <v/>
      </c>
      <c r="K44" s="423" t="str">
        <f>IF('Personnel Yr 1'!$K$5&gt;1,IF(OR(ISBLANK('Personnel Yr 1'!K44),'Personnel Yr 1'!K44=""),"",'Personnel Yr 1'!K44),"")</f>
        <v/>
      </c>
      <c r="L44" s="423" t="str">
        <f>IF('Personnel Yr 1'!$K$5&gt;1,IF(OR(ISBLANK('Personnel Yr 1'!L44),'Personnel Yr 1'!L44=""),"",'Personnel Yr 1'!L44),"")</f>
        <v/>
      </c>
      <c r="M44" s="34" t="str">
        <f t="shared" si="7"/>
        <v/>
      </c>
      <c r="N44" s="37" t="str">
        <f>IF(M44="","",ROUND(M44*_xlfn.XLOOKUP("Temp",Ben,Per),2))</f>
        <v/>
      </c>
      <c r="O44" s="40" t="str">
        <f t="shared" si="8"/>
        <v/>
      </c>
      <c r="P44" s="283"/>
    </row>
    <row r="45" spans="1:26" x14ac:dyDescent="0.2">
      <c r="B45" s="15" t="str">
        <f>IF('Personnel Yr 1'!$K$5&gt;1,IF(OR(ISBLANK('Personnel Yr 1'!B45),'Personnel Yr 1'!B45=""),"",'Personnel Yr 1'!B45),"")</f>
        <v/>
      </c>
      <c r="C45" s="499" t="s">
        <v>537</v>
      </c>
      <c r="D45" s="500"/>
      <c r="E45" s="500"/>
      <c r="F45" s="500"/>
      <c r="G45" s="500"/>
      <c r="H45" s="500"/>
      <c r="I45" s="501"/>
      <c r="J45" s="423" t="str">
        <f>IF('Personnel Yr 1'!$K$5&gt;1,IF(OR(ISBLANK('Personnel Yr 1'!J45),'Personnel Yr 1'!J45=""),"",'Personnel Yr 1'!J45),"")</f>
        <v/>
      </c>
      <c r="K45" s="423" t="str">
        <f>IF('Personnel Yr 1'!$K$5&gt;1,IF(OR(ISBLANK('Personnel Yr 1'!K45),'Personnel Yr 1'!K45=""),"",'Personnel Yr 1'!K45),"")</f>
        <v/>
      </c>
      <c r="L45" s="423" t="str">
        <f>IF('Personnel Yr 1'!$K$5&gt;1,IF(OR(ISBLANK('Personnel Yr 1'!L45),'Personnel Yr 1'!L45=""),"",'Personnel Yr 1'!L45),"")</f>
        <v/>
      </c>
      <c r="M45" s="34" t="str">
        <f t="shared" si="7"/>
        <v/>
      </c>
      <c r="N45" s="37" t="str">
        <f>IF(M45="","",ROUND(M45*_xlfn.XLOOKUP("Full",Ben,Per),2))</f>
        <v/>
      </c>
      <c r="O45" s="40" t="str">
        <f t="shared" si="8"/>
        <v/>
      </c>
      <c r="P45" s="283"/>
    </row>
    <row r="46" spans="1:26" x14ac:dyDescent="0.2">
      <c r="B46" s="15" t="str">
        <f>IF('Personnel Yr 1'!$K$5&gt;1,IF(OR(ISBLANK('Personnel Yr 1'!B46),'Personnel Yr 1'!B46=""),"",'Personnel Yr 1'!B46),"")</f>
        <v/>
      </c>
      <c r="C46" s="499" t="s">
        <v>445</v>
      </c>
      <c r="D46" s="500"/>
      <c r="E46" s="500"/>
      <c r="F46" s="500"/>
      <c r="G46" s="500"/>
      <c r="H46" s="500"/>
      <c r="I46" s="501"/>
      <c r="J46" s="423" t="str">
        <f>IF('Personnel Yr 1'!$K$5&gt;1,IF(OR(ISBLANK('Personnel Yr 1'!J46),'Personnel Yr 1'!J46=""),"",'Personnel Yr 1'!J46),"")</f>
        <v/>
      </c>
      <c r="K46" s="423" t="str">
        <f>IF('Personnel Yr 1'!$K$5&gt;1,IF(OR(ISBLANK('Personnel Yr 1'!K46),'Personnel Yr 1'!K46=""),"",'Personnel Yr 1'!K46),"")</f>
        <v/>
      </c>
      <c r="L46" s="423" t="str">
        <f>IF('Personnel Yr 1'!$K$5&gt;1,IF(OR(ISBLANK('Personnel Yr 1'!L46),'Personnel Yr 1'!L46=""),"",'Personnel Yr 1'!L46),"")</f>
        <v/>
      </c>
      <c r="M46" s="34" t="str">
        <f t="shared" si="7"/>
        <v/>
      </c>
      <c r="N46" s="34" t="str">
        <f>IF(M46="","",ROUND(M46*_xlfn.XLOOKUP("Temp",Ben,Per),2))</f>
        <v/>
      </c>
      <c r="O46" s="41" t="str">
        <f t="shared" si="8"/>
        <v/>
      </c>
      <c r="P46" s="268"/>
    </row>
    <row r="47" spans="1:26" x14ac:dyDescent="0.2">
      <c r="B47" s="15" t="str">
        <f>IF('Personnel Yr 1'!$K$5&gt;1,IF(OR(ISBLANK('Personnel Yr 1'!B47),'Personnel Yr 1'!B47=""),"",'Personnel Yr 1'!B47),"")</f>
        <v/>
      </c>
      <c r="C47" s="566" t="s">
        <v>407</v>
      </c>
      <c r="D47" s="520"/>
      <c r="E47" s="520"/>
      <c r="F47" s="520"/>
      <c r="G47" s="520"/>
      <c r="H47" s="520"/>
      <c r="I47" s="520"/>
      <c r="J47" s="423"/>
      <c r="K47" s="423"/>
      <c r="L47" s="423"/>
      <c r="M47" s="34" t="str">
        <f t="shared" si="7"/>
        <v/>
      </c>
      <c r="N47" s="34" t="str">
        <f>IF(M47="","",ROUND(M47*_xlfn.XLOOKUP("Temp",Ben,Per),2))</f>
        <v/>
      </c>
      <c r="O47" s="41" t="str">
        <f t="shared" si="8"/>
        <v/>
      </c>
      <c r="P47" s="268"/>
    </row>
    <row r="48" spans="1:26" ht="13.5" thickBot="1" x14ac:dyDescent="0.25">
      <c r="B48" s="189" t="str">
        <f>IF('Personnel Yr 1'!$K$5&gt;1,IF(OR(ISBLANK('Personnel Yr 1'!B48),'Personnel Yr 1'!B48=""),"",'Personnel Yr 1'!B48),"")</f>
        <v/>
      </c>
      <c r="C48" s="567" t="s">
        <v>408</v>
      </c>
      <c r="D48" s="522"/>
      <c r="E48" s="522"/>
      <c r="F48" s="522"/>
      <c r="G48" s="522"/>
      <c r="H48" s="522"/>
      <c r="I48" s="522"/>
      <c r="J48" s="424"/>
      <c r="K48" s="424"/>
      <c r="L48" s="424"/>
      <c r="M48" s="42" t="str">
        <f t="shared" si="7"/>
        <v/>
      </c>
      <c r="N48" s="42" t="str">
        <f>IF(M48="","",ROUND(M48*_xlfn.XLOOKUP("Adjunct",Ben,Per),2))</f>
        <v/>
      </c>
      <c r="O48" s="285" t="str">
        <f t="shared" si="8"/>
        <v/>
      </c>
      <c r="P48" s="284"/>
    </row>
    <row r="49" spans="1:17" ht="13.5" thickBot="1" x14ac:dyDescent="0.25">
      <c r="B49" s="20">
        <f>SUM(B39:B46)</f>
        <v>0</v>
      </c>
      <c r="C49" s="563" t="s">
        <v>8</v>
      </c>
      <c r="D49" s="540"/>
      <c r="E49" s="540"/>
      <c r="F49" s="540"/>
      <c r="G49" s="18"/>
      <c r="H49" s="18"/>
      <c r="I49" s="18"/>
      <c r="J49" s="543" t="s">
        <v>9</v>
      </c>
      <c r="K49" s="564"/>
      <c r="L49" s="564"/>
      <c r="M49" s="564"/>
      <c r="N49" s="565"/>
      <c r="O49" s="45">
        <f>ROUND(SUM(O39:O48),2)</f>
        <v>0</v>
      </c>
    </row>
    <row r="50" spans="1:17" ht="13.5" thickBot="1" x14ac:dyDescent="0.25">
      <c r="I50" s="8"/>
      <c r="J50" s="513" t="s">
        <v>10</v>
      </c>
      <c r="K50" s="513"/>
      <c r="L50" s="513"/>
      <c r="M50" s="513"/>
      <c r="N50" s="514"/>
      <c r="O50" s="38">
        <f>ROUND(SUM(O16,O49),2)</f>
        <v>0</v>
      </c>
    </row>
    <row r="51" spans="1:17" x14ac:dyDescent="0.2">
      <c r="B51" s="498" t="s">
        <v>525</v>
      </c>
      <c r="C51" s="498"/>
      <c r="D51" s="498"/>
    </row>
    <row r="52" spans="1:17" ht="26.25" thickBot="1" x14ac:dyDescent="0.25">
      <c r="B52" s="2" t="s">
        <v>0</v>
      </c>
      <c r="C52" s="2" t="s">
        <v>1</v>
      </c>
      <c r="D52" s="2" t="s">
        <v>2</v>
      </c>
      <c r="E52" s="2" t="s">
        <v>3</v>
      </c>
      <c r="F52" s="2" t="s">
        <v>4</v>
      </c>
      <c r="G52" s="2" t="s">
        <v>39</v>
      </c>
      <c r="H52" s="2"/>
      <c r="I52" s="2"/>
      <c r="J52" s="3" t="s">
        <v>56</v>
      </c>
      <c r="K52" s="3" t="s">
        <v>57</v>
      </c>
      <c r="L52" s="2" t="s">
        <v>58</v>
      </c>
      <c r="M52" s="2" t="s">
        <v>41</v>
      </c>
      <c r="N52" s="2" t="s">
        <v>42</v>
      </c>
      <c r="O52" s="2" t="s">
        <v>38</v>
      </c>
      <c r="P52" s="493" t="s">
        <v>240</v>
      </c>
      <c r="Q52" s="493"/>
    </row>
    <row r="53" spans="1:17" x14ac:dyDescent="0.2">
      <c r="A53" s="4">
        <v>1</v>
      </c>
      <c r="B53" s="21" t="str">
        <f>IF('Personnel Yr 1'!$K$5&gt;1,IF(ISBLANK('Personnel Yr 1'!B53),"",'Personnel Yr 1'!B53),"")</f>
        <v/>
      </c>
      <c r="C53" s="13" t="str">
        <f>IF('Personnel Yr 1'!$K$5&gt;1,IF(ISBLANK('Personnel Yr 1'!C53),"",'Personnel Yr 1'!C53),"")</f>
        <v/>
      </c>
      <c r="D53" s="13" t="str">
        <f>IF('Personnel Yr 1'!$K$5&gt;1,IF(ISBLANK('Personnel Yr 1'!D53),"",'Personnel Yr 1'!D53),"")</f>
        <v/>
      </c>
      <c r="E53" s="13" t="str">
        <f>IF('Personnel Yr 1'!$K$5&gt;1,IF(ISBLANK('Personnel Yr 1'!E53),"",'Personnel Yr 1'!E53),"")</f>
        <v/>
      </c>
      <c r="F53" s="13" t="str">
        <f>IF('Personnel Yr 1'!$K$5&gt;1,IF(ISBLANK('Personnel Yr 1'!F53),"",'Personnel Yr 1'!F53),"")</f>
        <v/>
      </c>
      <c r="G53" s="507" t="str">
        <f>IF('Personnel Yr 1'!$K$5&gt;1,IF(ISBLANK('Personnel Yr 1'!G53),"",'Personnel Yr 1'!G53),"")</f>
        <v/>
      </c>
      <c r="H53" s="508"/>
      <c r="I53" s="509"/>
      <c r="J53" s="13" t="str">
        <f>IF('Personnel Yr 1'!$K$5&gt;1,IF(AND(OR(ISBLANK($I53),$I53=""),ISBLANK('Personnel Yr 1'!J53)),"",'Personnel Yr 1'!J53),"")</f>
        <v/>
      </c>
      <c r="K53" s="13" t="str">
        <f>IF('Personnel Yr 1'!$K$5&gt;1,IF(AND(OR(ISBLANK($I53),$I53=""),ISBLANK('Personnel Yr 1'!K53)),"",'Personnel Yr 1'!K53),"")</f>
        <v/>
      </c>
      <c r="L53" s="13" t="str">
        <f>IF('Personnel Yr 1'!$K$5&gt;1,IF(AND(OR(ISBLANK($I53),$I53=""),ISBLANK('Personnel Yr 1'!L53)),"",'Personnel Yr 1'!L53),"")</f>
        <v/>
      </c>
      <c r="M53" s="204" t="str">
        <f>IF('Personnel Yr 1'!$K$5&gt;1,IF(AND(NOT(ISBLANK('Personnel Yr 1'!M53)),'Personnel Yr 1'!M53&lt;&gt;""),(('Personnel Yr 1'!M53*'Personnel Yr 1'!$D$5)+'Personnel Yr 1'!M53),""),"")</f>
        <v/>
      </c>
      <c r="N53" s="35" t="str">
        <f t="shared" ref="N53:N72" si="9">IF(M53="","",ROUND(M53*IF(G53="Graduate Assistants", _xlfn.XLOOKUP($I$43,Grad,GradR),_xlfn.XLOOKUP("*"&amp;G53&amp;"*",BenB,Per,,2)),2))</f>
        <v/>
      </c>
      <c r="O53" s="36" t="str">
        <f>IF(M53="","",ROUND(SUM(M53:N53),2))</f>
        <v/>
      </c>
      <c r="P53" s="12"/>
    </row>
    <row r="54" spans="1:17" x14ac:dyDescent="0.2">
      <c r="A54" s="4">
        <v>2</v>
      </c>
      <c r="B54" s="5" t="str">
        <f>IF('Personnel Yr 1'!$K$5&gt;1,IF(ISBLANK('Personnel Yr 1'!B54),"",'Personnel Yr 1'!B54),"")</f>
        <v/>
      </c>
      <c r="C54" s="17" t="str">
        <f>IF('Personnel Yr 1'!$K$5&gt;1,IF(ISBLANK('Personnel Yr 1'!C54),"",'Personnel Yr 1'!C54),"")</f>
        <v/>
      </c>
      <c r="D54" s="17" t="str">
        <f>IF('Personnel Yr 1'!$K$5&gt;1,IF(ISBLANK('Personnel Yr 1'!D54),"",'Personnel Yr 1'!D54),"")</f>
        <v/>
      </c>
      <c r="E54" s="17" t="str">
        <f>IF('Personnel Yr 1'!$K$5&gt;1,IF(ISBLANK('Personnel Yr 1'!E54),"",'Personnel Yr 1'!E54),"")</f>
        <v/>
      </c>
      <c r="F54" s="17" t="str">
        <f>IF('Personnel Yr 1'!$K$5&gt;1,IF(ISBLANK('Personnel Yr 1'!F54),"",'Personnel Yr 1'!F54),"")</f>
        <v/>
      </c>
      <c r="G54" s="483" t="str">
        <f>IF('Personnel Yr 1'!$K$5&gt;1,IF(ISBLANK('Personnel Yr 1'!G54),"",'Personnel Yr 1'!G54),"")</f>
        <v/>
      </c>
      <c r="H54" s="484"/>
      <c r="I54" s="485"/>
      <c r="J54" s="17" t="str">
        <f>IF('Personnel Yr 1'!$K$5&gt;1,IF(AND(OR(ISBLANK($I54),$I54=""),ISBLANK('Personnel Yr 1'!J54)),"",'Personnel Yr 1'!J54),"")</f>
        <v/>
      </c>
      <c r="K54" s="17" t="str">
        <f>IF('Personnel Yr 1'!$K$5&gt;1,IF(AND(OR(ISBLANK($I54),$I54=""),ISBLANK('Personnel Yr 1'!K54)),"",'Personnel Yr 1'!K54),"")</f>
        <v/>
      </c>
      <c r="L54" s="17" t="str">
        <f>IF('Personnel Yr 1'!$K$5&gt;1,IF(AND(OR(ISBLANK($I54),$I54=""),ISBLANK('Personnel Yr 1'!L54)),"",'Personnel Yr 1'!L54),"")</f>
        <v/>
      </c>
      <c r="M54" s="32" t="str">
        <f>IF('Personnel Yr 1'!$K$5&gt;1,IF(AND(NOT(ISBLANK('Personnel Yr 1'!M54)),'Personnel Yr 1'!M54&lt;&gt;""),(('Personnel Yr 1'!M54*'Personnel Yr 1'!$D$5)+'Personnel Yr 1'!M54),""),"")</f>
        <v/>
      </c>
      <c r="N54" s="34" t="str">
        <f t="shared" si="9"/>
        <v/>
      </c>
      <c r="O54" s="40" t="str">
        <f t="shared" ref="O54:O72" si="10">IF(M54="","",ROUND(SUM(M54:N54),2))</f>
        <v/>
      </c>
      <c r="P54" s="15"/>
    </row>
    <row r="55" spans="1:17" x14ac:dyDescent="0.2">
      <c r="A55" s="4">
        <v>3</v>
      </c>
      <c r="B55" s="5" t="str">
        <f>IF('Personnel Yr 1'!$K$5&gt;1,IF(ISBLANK('Personnel Yr 1'!B55),"",'Personnel Yr 1'!B55),"")</f>
        <v/>
      </c>
      <c r="C55" s="17" t="str">
        <f>IF('Personnel Yr 1'!$K$5&gt;1,IF(ISBLANK('Personnel Yr 1'!C55),"",'Personnel Yr 1'!C55),"")</f>
        <v/>
      </c>
      <c r="D55" s="17" t="str">
        <f>IF('Personnel Yr 1'!$K$5&gt;1,IF(ISBLANK('Personnel Yr 1'!D55),"",'Personnel Yr 1'!D55),"")</f>
        <v/>
      </c>
      <c r="E55" s="17" t="str">
        <f>IF('Personnel Yr 1'!$K$5&gt;1,IF(ISBLANK('Personnel Yr 1'!E55),"",'Personnel Yr 1'!E55),"")</f>
        <v/>
      </c>
      <c r="F55" s="17" t="str">
        <f>IF('Personnel Yr 1'!$K$5&gt;1,IF(ISBLANK('Personnel Yr 1'!F55),"",'Personnel Yr 1'!F55),"")</f>
        <v/>
      </c>
      <c r="G55" s="483" t="str">
        <f>IF('Personnel Yr 1'!$K$5&gt;1,IF(ISBLANK('Personnel Yr 1'!G55),"",'Personnel Yr 1'!G55),"")</f>
        <v/>
      </c>
      <c r="H55" s="484"/>
      <c r="I55" s="485"/>
      <c r="J55" s="17" t="str">
        <f>IF('Personnel Yr 1'!$K$5&gt;1,IF(AND(OR(ISBLANK($I55),$I55=""),ISBLANK('Personnel Yr 1'!J55)),"",'Personnel Yr 1'!J55),"")</f>
        <v/>
      </c>
      <c r="K55" s="17" t="str">
        <f>IF('Personnel Yr 1'!$K$5&gt;1,IF(AND(OR(ISBLANK($I55),$I55=""),ISBLANK('Personnel Yr 1'!K55)),"",'Personnel Yr 1'!K55),"")</f>
        <v/>
      </c>
      <c r="L55" s="17" t="str">
        <f>IF('Personnel Yr 1'!$K$5&gt;1,IF(AND(OR(ISBLANK($I55),$I55=""),ISBLANK('Personnel Yr 1'!L55)),"",'Personnel Yr 1'!L55),"")</f>
        <v/>
      </c>
      <c r="M55" s="32" t="str">
        <f>IF('Personnel Yr 1'!$K$5&gt;1,IF(AND(NOT(ISBLANK('Personnel Yr 1'!M55)),'Personnel Yr 1'!M55&lt;&gt;""),(('Personnel Yr 1'!M55*'Personnel Yr 1'!$D$5)+'Personnel Yr 1'!M55),""),"")</f>
        <v/>
      </c>
      <c r="N55" s="34" t="str">
        <f t="shared" si="9"/>
        <v/>
      </c>
      <c r="O55" s="40" t="str">
        <f t="shared" si="10"/>
        <v/>
      </c>
      <c r="P55" s="15"/>
    </row>
    <row r="56" spans="1:17" x14ac:dyDescent="0.2">
      <c r="A56" s="4">
        <v>4</v>
      </c>
      <c r="B56" s="5" t="str">
        <f>IF('Personnel Yr 1'!$K$5&gt;1,IF(ISBLANK('Personnel Yr 1'!B56),"",'Personnel Yr 1'!B56),"")</f>
        <v/>
      </c>
      <c r="C56" s="17" t="str">
        <f>IF('Personnel Yr 1'!$K$5&gt;1,IF(ISBLANK('Personnel Yr 1'!C56),"",'Personnel Yr 1'!C56),"")</f>
        <v/>
      </c>
      <c r="D56" s="17" t="str">
        <f>IF('Personnel Yr 1'!$K$5&gt;1,IF(ISBLANK('Personnel Yr 1'!D56),"",'Personnel Yr 1'!D56),"")</f>
        <v/>
      </c>
      <c r="E56" s="17" t="str">
        <f>IF('Personnel Yr 1'!$K$5&gt;1,IF(ISBLANK('Personnel Yr 1'!E56),"",'Personnel Yr 1'!E56),"")</f>
        <v/>
      </c>
      <c r="F56" s="17" t="str">
        <f>IF('Personnel Yr 1'!$K$5&gt;1,IF(ISBLANK('Personnel Yr 1'!F56),"",'Personnel Yr 1'!F56),"")</f>
        <v/>
      </c>
      <c r="G56" s="483" t="str">
        <f>IF('Personnel Yr 1'!$K$5&gt;1,IF(ISBLANK('Personnel Yr 1'!G56),"",'Personnel Yr 1'!G56),"")</f>
        <v/>
      </c>
      <c r="H56" s="484"/>
      <c r="I56" s="485"/>
      <c r="J56" s="17" t="str">
        <f>IF('Personnel Yr 1'!$K$5&gt;1,IF(AND(OR(ISBLANK($I56),$I56=""),ISBLANK('Personnel Yr 1'!J56)),"",'Personnel Yr 1'!J56),"")</f>
        <v/>
      </c>
      <c r="K56" s="17" t="str">
        <f>IF('Personnel Yr 1'!$K$5&gt;1,IF(AND(OR(ISBLANK($I56),$I56=""),ISBLANK('Personnel Yr 1'!K56)),"",'Personnel Yr 1'!K56),"")</f>
        <v/>
      </c>
      <c r="L56" s="17" t="str">
        <f>IF('Personnel Yr 1'!$K$5&gt;1,IF(AND(OR(ISBLANK($I56),$I56=""),ISBLANK('Personnel Yr 1'!L56)),"",'Personnel Yr 1'!L56),"")</f>
        <v/>
      </c>
      <c r="M56" s="32" t="str">
        <f>IF('Personnel Yr 1'!$K$5&gt;1,IF(AND(NOT(ISBLANK('Personnel Yr 1'!M56)),'Personnel Yr 1'!M56&lt;&gt;""),(('Personnel Yr 1'!M56*'Personnel Yr 1'!$D$5)+'Personnel Yr 1'!M56),""),"")</f>
        <v/>
      </c>
      <c r="N56" s="34" t="str">
        <f t="shared" si="9"/>
        <v/>
      </c>
      <c r="O56" s="40" t="str">
        <f t="shared" si="10"/>
        <v/>
      </c>
      <c r="P56" s="15"/>
    </row>
    <row r="57" spans="1:17" x14ac:dyDescent="0.2">
      <c r="A57" s="4">
        <v>5</v>
      </c>
      <c r="B57" s="5" t="str">
        <f>IF('Personnel Yr 1'!$K$5&gt;1,IF(ISBLANK('Personnel Yr 1'!B57),"",'Personnel Yr 1'!B57),"")</f>
        <v/>
      </c>
      <c r="C57" s="17" t="str">
        <f>IF('Personnel Yr 1'!$K$5&gt;1,IF(ISBLANK('Personnel Yr 1'!C57),"",'Personnel Yr 1'!C57),"")</f>
        <v/>
      </c>
      <c r="D57" s="17" t="str">
        <f>IF('Personnel Yr 1'!$K$5&gt;1,IF(ISBLANK('Personnel Yr 1'!D57),"",'Personnel Yr 1'!D57),"")</f>
        <v/>
      </c>
      <c r="E57" s="17" t="str">
        <f>IF('Personnel Yr 1'!$K$5&gt;1,IF(ISBLANK('Personnel Yr 1'!E57),"",'Personnel Yr 1'!E57),"")</f>
        <v/>
      </c>
      <c r="F57" s="17" t="str">
        <f>IF('Personnel Yr 1'!$K$5&gt;1,IF(ISBLANK('Personnel Yr 1'!F57),"",'Personnel Yr 1'!F57),"")</f>
        <v/>
      </c>
      <c r="G57" s="483" t="str">
        <f>IF('Personnel Yr 1'!$K$5&gt;1,IF(ISBLANK('Personnel Yr 1'!G57),"",'Personnel Yr 1'!G57),"")</f>
        <v/>
      </c>
      <c r="H57" s="484"/>
      <c r="I57" s="485"/>
      <c r="J57" s="17" t="str">
        <f>IF('Personnel Yr 1'!$K$5&gt;1,IF(AND(OR(ISBLANK($I57),$I57=""),ISBLANK('Personnel Yr 1'!J57)),"",'Personnel Yr 1'!J57),"")</f>
        <v/>
      </c>
      <c r="K57" s="17" t="str">
        <f>IF('Personnel Yr 1'!$K$5&gt;1,IF(AND(OR(ISBLANK($I57),$I57=""),ISBLANK('Personnel Yr 1'!K57)),"",'Personnel Yr 1'!K57),"")</f>
        <v/>
      </c>
      <c r="L57" s="17" t="str">
        <f>IF('Personnel Yr 1'!$K$5&gt;1,IF(AND(OR(ISBLANK($I57),$I57=""),ISBLANK('Personnel Yr 1'!L57)),"",'Personnel Yr 1'!L57),"")</f>
        <v/>
      </c>
      <c r="M57" s="32" t="str">
        <f>IF('Personnel Yr 1'!$K$5&gt;1,IF(AND(NOT(ISBLANK('Personnel Yr 1'!M57)),'Personnel Yr 1'!M57&lt;&gt;""),(('Personnel Yr 1'!M57*'Personnel Yr 1'!$D$5)+'Personnel Yr 1'!M57),""),"")</f>
        <v/>
      </c>
      <c r="N57" s="34" t="str">
        <f t="shared" si="9"/>
        <v/>
      </c>
      <c r="O57" s="40" t="str">
        <f t="shared" si="10"/>
        <v/>
      </c>
      <c r="P57" s="15"/>
    </row>
    <row r="58" spans="1:17" x14ac:dyDescent="0.2">
      <c r="A58" s="4">
        <v>6</v>
      </c>
      <c r="B58" s="5" t="str">
        <f>IF('Personnel Yr 1'!$K$5&gt;1,IF(ISBLANK('Personnel Yr 1'!B58),"",'Personnel Yr 1'!B58),"")</f>
        <v/>
      </c>
      <c r="C58" s="17" t="str">
        <f>IF('Personnel Yr 1'!$K$5&gt;1,IF(ISBLANK('Personnel Yr 1'!C58),"",'Personnel Yr 1'!C58),"")</f>
        <v/>
      </c>
      <c r="D58" s="17" t="str">
        <f>IF('Personnel Yr 1'!$K$5&gt;1,IF(ISBLANK('Personnel Yr 1'!D58),"",'Personnel Yr 1'!D58),"")</f>
        <v/>
      </c>
      <c r="E58" s="17" t="str">
        <f>IF('Personnel Yr 1'!$K$5&gt;1,IF(ISBLANK('Personnel Yr 1'!E58),"",'Personnel Yr 1'!E58),"")</f>
        <v/>
      </c>
      <c r="F58" s="17" t="str">
        <f>IF('Personnel Yr 1'!$K$5&gt;1,IF(ISBLANK('Personnel Yr 1'!F58),"",'Personnel Yr 1'!F58),"")</f>
        <v/>
      </c>
      <c r="G58" s="483" t="str">
        <f>IF('Personnel Yr 1'!$K$5&gt;1,IF(ISBLANK('Personnel Yr 1'!G58),"",'Personnel Yr 1'!G58),"")</f>
        <v/>
      </c>
      <c r="H58" s="484"/>
      <c r="I58" s="485"/>
      <c r="J58" s="17" t="str">
        <f>IF('Personnel Yr 1'!$K$5&gt;1,IF(AND(OR(ISBLANK($I58),$I58=""),ISBLANK('Personnel Yr 1'!J58)),"",'Personnel Yr 1'!J58),"")</f>
        <v/>
      </c>
      <c r="K58" s="17" t="str">
        <f>IF('Personnel Yr 1'!$K$5&gt;1,IF(AND(OR(ISBLANK($I58),$I58=""),ISBLANK('Personnel Yr 1'!K58)),"",'Personnel Yr 1'!K58),"")</f>
        <v/>
      </c>
      <c r="L58" s="17" t="str">
        <f>IF('Personnel Yr 1'!$K$5&gt;1,IF(AND(OR(ISBLANK($I58),$I58=""),ISBLANK('Personnel Yr 1'!L58)),"",'Personnel Yr 1'!L58),"")</f>
        <v/>
      </c>
      <c r="M58" s="32" t="str">
        <f>IF('Personnel Yr 1'!$K$5&gt;1,IF(AND(NOT(ISBLANK('Personnel Yr 1'!M58)),'Personnel Yr 1'!M58&lt;&gt;""),(('Personnel Yr 1'!M58*'Personnel Yr 1'!$D$5)+'Personnel Yr 1'!M58),""),"")</f>
        <v/>
      </c>
      <c r="N58" s="34" t="str">
        <f t="shared" si="9"/>
        <v/>
      </c>
      <c r="O58" s="40" t="str">
        <f t="shared" si="10"/>
        <v/>
      </c>
      <c r="P58" s="15"/>
    </row>
    <row r="59" spans="1:17" x14ac:dyDescent="0.2">
      <c r="A59" s="4">
        <v>7</v>
      </c>
      <c r="B59" s="5" t="str">
        <f>IF('Personnel Yr 1'!$K$5&gt;1,IF(ISBLANK('Personnel Yr 1'!B59),"",'Personnel Yr 1'!B59),"")</f>
        <v/>
      </c>
      <c r="C59" s="17" t="str">
        <f>IF('Personnel Yr 1'!$K$5&gt;1,IF(ISBLANK('Personnel Yr 1'!C59),"",'Personnel Yr 1'!C59),"")</f>
        <v/>
      </c>
      <c r="D59" s="17" t="str">
        <f>IF('Personnel Yr 1'!$K$5&gt;1,IF(ISBLANK('Personnel Yr 1'!D59),"",'Personnel Yr 1'!D59),"")</f>
        <v/>
      </c>
      <c r="E59" s="17" t="str">
        <f>IF('Personnel Yr 1'!$K$5&gt;1,IF(ISBLANK('Personnel Yr 1'!E59),"",'Personnel Yr 1'!E59),"")</f>
        <v/>
      </c>
      <c r="F59" s="17" t="str">
        <f>IF('Personnel Yr 1'!$K$5&gt;1,IF(ISBLANK('Personnel Yr 1'!F59),"",'Personnel Yr 1'!F59),"")</f>
        <v/>
      </c>
      <c r="G59" s="483" t="str">
        <f>IF('Personnel Yr 1'!$K$5&gt;1,IF(ISBLANK('Personnel Yr 1'!G59),"",'Personnel Yr 1'!G59),"")</f>
        <v/>
      </c>
      <c r="H59" s="484"/>
      <c r="I59" s="485"/>
      <c r="J59" s="17" t="str">
        <f>IF('Personnel Yr 1'!$K$5&gt;1,IF(AND(OR(ISBLANK($I59),$I59=""),ISBLANK('Personnel Yr 1'!J59)),"",'Personnel Yr 1'!J59),"")</f>
        <v/>
      </c>
      <c r="K59" s="17" t="str">
        <f>IF('Personnel Yr 1'!$K$5&gt;1,IF(AND(OR(ISBLANK($I59),$I59=""),ISBLANK('Personnel Yr 1'!K59)),"",'Personnel Yr 1'!K59),"")</f>
        <v/>
      </c>
      <c r="L59" s="17" t="str">
        <f>IF('Personnel Yr 1'!$K$5&gt;1,IF(AND(OR(ISBLANK($I59),$I59=""),ISBLANK('Personnel Yr 1'!L59)),"",'Personnel Yr 1'!L59),"")</f>
        <v/>
      </c>
      <c r="M59" s="32" t="str">
        <f>IF('Personnel Yr 1'!$K$5&gt;1,IF(AND(NOT(ISBLANK('Personnel Yr 1'!M59)),'Personnel Yr 1'!M59&lt;&gt;""),(('Personnel Yr 1'!M59*'Personnel Yr 1'!$D$5)+'Personnel Yr 1'!M59),""),"")</f>
        <v/>
      </c>
      <c r="N59" s="34" t="str">
        <f t="shared" si="9"/>
        <v/>
      </c>
      <c r="O59" s="40" t="str">
        <f t="shared" si="10"/>
        <v/>
      </c>
      <c r="P59" s="15"/>
    </row>
    <row r="60" spans="1:17" x14ac:dyDescent="0.2">
      <c r="A60" s="4">
        <v>8</v>
      </c>
      <c r="B60" s="5" t="str">
        <f>IF('Personnel Yr 1'!$K$5&gt;1,IF(ISBLANK('Personnel Yr 1'!B60),"",'Personnel Yr 1'!B60),"")</f>
        <v/>
      </c>
      <c r="C60" s="17" t="str">
        <f>IF('Personnel Yr 1'!$K$5&gt;1,IF(ISBLANK('Personnel Yr 1'!C60),"",'Personnel Yr 1'!C60),"")</f>
        <v/>
      </c>
      <c r="D60" s="17" t="str">
        <f>IF('Personnel Yr 1'!$K$5&gt;1,IF(ISBLANK('Personnel Yr 1'!D60),"",'Personnel Yr 1'!D60),"")</f>
        <v/>
      </c>
      <c r="E60" s="17" t="str">
        <f>IF('Personnel Yr 1'!$K$5&gt;1,IF(ISBLANK('Personnel Yr 1'!E60),"",'Personnel Yr 1'!E60),"")</f>
        <v/>
      </c>
      <c r="F60" s="17" t="str">
        <f>IF('Personnel Yr 1'!$K$5&gt;1,IF(ISBLANK('Personnel Yr 1'!F60),"",'Personnel Yr 1'!F60),"")</f>
        <v/>
      </c>
      <c r="G60" s="483" t="str">
        <f>IF('Personnel Yr 1'!$K$5&gt;1,IF(ISBLANK('Personnel Yr 1'!G60),"",'Personnel Yr 1'!G60),"")</f>
        <v/>
      </c>
      <c r="H60" s="484"/>
      <c r="I60" s="485"/>
      <c r="J60" s="17" t="str">
        <f>IF('Personnel Yr 1'!$K$5&gt;1,IF(AND(OR(ISBLANK($I60),$I60=""),ISBLANK('Personnel Yr 1'!J60)),"",'Personnel Yr 1'!J60),"")</f>
        <v/>
      </c>
      <c r="K60" s="17" t="str">
        <f>IF('Personnel Yr 1'!$K$5&gt;1,IF(AND(OR(ISBLANK($I60),$I60=""),ISBLANK('Personnel Yr 1'!K60)),"",'Personnel Yr 1'!K60),"")</f>
        <v/>
      </c>
      <c r="L60" s="17" t="str">
        <f>IF('Personnel Yr 1'!$K$5&gt;1,IF(AND(OR(ISBLANK($I60),$I60=""),ISBLANK('Personnel Yr 1'!L60)),"",'Personnel Yr 1'!L60),"")</f>
        <v/>
      </c>
      <c r="M60" s="32" t="str">
        <f>IF('Personnel Yr 1'!$K$5&gt;1,IF(AND(NOT(ISBLANK('Personnel Yr 1'!M60)),'Personnel Yr 1'!M60&lt;&gt;""),(('Personnel Yr 1'!M60*'Personnel Yr 1'!$D$5)+'Personnel Yr 1'!M60),""),"")</f>
        <v/>
      </c>
      <c r="N60" s="34" t="str">
        <f t="shared" si="9"/>
        <v/>
      </c>
      <c r="O60" s="40" t="str">
        <f t="shared" si="10"/>
        <v/>
      </c>
      <c r="P60" s="15"/>
    </row>
    <row r="61" spans="1:17" x14ac:dyDescent="0.2">
      <c r="A61" s="4">
        <v>9</v>
      </c>
      <c r="B61" s="5" t="str">
        <f>IF('Personnel Yr 1'!$K$5&gt;1,IF(ISBLANK('Personnel Yr 1'!B61),"",'Personnel Yr 1'!B61),"")</f>
        <v/>
      </c>
      <c r="C61" s="17" t="str">
        <f>IF('Personnel Yr 1'!$K$5&gt;1,IF(ISBLANK('Personnel Yr 1'!C61),"",'Personnel Yr 1'!C61),"")</f>
        <v/>
      </c>
      <c r="D61" s="17" t="str">
        <f>IF('Personnel Yr 1'!$K$5&gt;1,IF(ISBLANK('Personnel Yr 1'!D61),"",'Personnel Yr 1'!D61),"")</f>
        <v/>
      </c>
      <c r="E61" s="17" t="str">
        <f>IF('Personnel Yr 1'!$K$5&gt;1,IF(ISBLANK('Personnel Yr 1'!E61),"",'Personnel Yr 1'!E61),"")</f>
        <v/>
      </c>
      <c r="F61" s="17" t="str">
        <f>IF('Personnel Yr 1'!$K$5&gt;1,IF(ISBLANK('Personnel Yr 1'!F61),"",'Personnel Yr 1'!F61),"")</f>
        <v/>
      </c>
      <c r="G61" s="483" t="str">
        <f>IF('Personnel Yr 1'!$K$5&gt;1,IF(ISBLANK('Personnel Yr 1'!G61),"",'Personnel Yr 1'!G61),"")</f>
        <v/>
      </c>
      <c r="H61" s="484"/>
      <c r="I61" s="485"/>
      <c r="J61" s="17" t="str">
        <f>IF('Personnel Yr 1'!$K$5&gt;1,IF(AND(OR(ISBLANK($I61),$I61=""),ISBLANK('Personnel Yr 1'!J61)),"",'Personnel Yr 1'!J61),"")</f>
        <v/>
      </c>
      <c r="K61" s="17" t="str">
        <f>IF('Personnel Yr 1'!$K$5&gt;1,IF(AND(OR(ISBLANK($I61),$I61=""),ISBLANK('Personnel Yr 1'!K61)),"",'Personnel Yr 1'!K61),"")</f>
        <v/>
      </c>
      <c r="L61" s="17" t="str">
        <f>IF('Personnel Yr 1'!$K$5&gt;1,IF(AND(OR(ISBLANK($I61),$I61=""),ISBLANK('Personnel Yr 1'!L61)),"",'Personnel Yr 1'!L61),"")</f>
        <v/>
      </c>
      <c r="M61" s="32" t="str">
        <f>IF('Personnel Yr 1'!$K$5&gt;1,IF(AND(NOT(ISBLANK('Personnel Yr 1'!M61)),'Personnel Yr 1'!M61&lt;&gt;""),(('Personnel Yr 1'!M61*'Personnel Yr 1'!$D$5)+'Personnel Yr 1'!M61),""),"")</f>
        <v/>
      </c>
      <c r="N61" s="34" t="str">
        <f t="shared" si="9"/>
        <v/>
      </c>
      <c r="O61" s="40" t="str">
        <f t="shared" si="10"/>
        <v/>
      </c>
      <c r="P61" s="15"/>
    </row>
    <row r="62" spans="1:17" x14ac:dyDescent="0.2">
      <c r="A62" s="4">
        <v>10</v>
      </c>
      <c r="B62" s="5" t="str">
        <f>IF('Personnel Yr 1'!$K$5&gt;1,IF(ISBLANK('Personnel Yr 1'!B62),"",'Personnel Yr 1'!B62),"")</f>
        <v/>
      </c>
      <c r="C62" s="17" t="str">
        <f>IF('Personnel Yr 1'!$K$5&gt;1,IF(ISBLANK('Personnel Yr 1'!C62),"",'Personnel Yr 1'!C62),"")</f>
        <v/>
      </c>
      <c r="D62" s="17" t="str">
        <f>IF('Personnel Yr 1'!$K$5&gt;1,IF(ISBLANK('Personnel Yr 1'!D62),"",'Personnel Yr 1'!D62),"")</f>
        <v/>
      </c>
      <c r="E62" s="17" t="str">
        <f>IF('Personnel Yr 1'!$K$5&gt;1,IF(ISBLANK('Personnel Yr 1'!E62),"",'Personnel Yr 1'!E62),"")</f>
        <v/>
      </c>
      <c r="F62" s="17" t="str">
        <f>IF('Personnel Yr 1'!$K$5&gt;1,IF(ISBLANK('Personnel Yr 1'!F62),"",'Personnel Yr 1'!F62),"")</f>
        <v/>
      </c>
      <c r="G62" s="483" t="str">
        <f>IF('Personnel Yr 1'!$K$5&gt;1,IF(ISBLANK('Personnel Yr 1'!G62),"",'Personnel Yr 1'!G62),"")</f>
        <v/>
      </c>
      <c r="H62" s="484"/>
      <c r="I62" s="485"/>
      <c r="J62" s="17" t="str">
        <f>IF('Personnel Yr 1'!$K$5&gt;1,IF(AND(OR(ISBLANK($I62),$I62=""),ISBLANK('Personnel Yr 1'!J62)),"",'Personnel Yr 1'!J62),"")</f>
        <v/>
      </c>
      <c r="K62" s="17" t="str">
        <f>IF('Personnel Yr 1'!$K$5&gt;1,IF(AND(OR(ISBLANK($I62),$I62=""),ISBLANK('Personnel Yr 1'!K62)),"",'Personnel Yr 1'!K62),"")</f>
        <v/>
      </c>
      <c r="L62" s="17" t="str">
        <f>IF('Personnel Yr 1'!$K$5&gt;1,IF(AND(OR(ISBLANK($I62),$I62=""),ISBLANK('Personnel Yr 1'!L62)),"",'Personnel Yr 1'!L62),"")</f>
        <v/>
      </c>
      <c r="M62" s="32" t="str">
        <f>IF('Personnel Yr 1'!$K$5&gt;1,IF(AND(NOT(ISBLANK('Personnel Yr 1'!M62)),'Personnel Yr 1'!M62&lt;&gt;""),(('Personnel Yr 1'!M62*'Personnel Yr 1'!$D$5)+'Personnel Yr 1'!M62),""),"")</f>
        <v/>
      </c>
      <c r="N62" s="34" t="str">
        <f t="shared" si="9"/>
        <v/>
      </c>
      <c r="O62" s="40" t="str">
        <f t="shared" si="10"/>
        <v/>
      </c>
      <c r="P62" s="15"/>
    </row>
    <row r="63" spans="1:17" x14ac:dyDescent="0.2">
      <c r="A63" s="4">
        <v>11</v>
      </c>
      <c r="B63" s="5" t="str">
        <f>IF('Personnel Yr 1'!$K$5&gt;1,IF(ISBLANK('Personnel Yr 1'!B63),"",'Personnel Yr 1'!B63),"")</f>
        <v/>
      </c>
      <c r="C63" s="17" t="str">
        <f>IF('Personnel Yr 1'!$K$5&gt;1,IF(ISBLANK('Personnel Yr 1'!C63),"",'Personnel Yr 1'!C63),"")</f>
        <v/>
      </c>
      <c r="D63" s="17" t="str">
        <f>IF('Personnel Yr 1'!$K$5&gt;1,IF(ISBLANK('Personnel Yr 1'!D63),"",'Personnel Yr 1'!D63),"")</f>
        <v/>
      </c>
      <c r="E63" s="17" t="str">
        <f>IF('Personnel Yr 1'!$K$5&gt;1,IF(ISBLANK('Personnel Yr 1'!E63),"",'Personnel Yr 1'!E63),"")</f>
        <v/>
      </c>
      <c r="F63" s="17" t="str">
        <f>IF('Personnel Yr 1'!$K$5&gt;1,IF(ISBLANK('Personnel Yr 1'!F63),"",'Personnel Yr 1'!F63),"")</f>
        <v/>
      </c>
      <c r="G63" s="483" t="str">
        <f>IF('Personnel Yr 1'!$K$5&gt;1,IF(ISBLANK('Personnel Yr 1'!G63),"",'Personnel Yr 1'!G63),"")</f>
        <v/>
      </c>
      <c r="H63" s="484"/>
      <c r="I63" s="485"/>
      <c r="J63" s="17" t="str">
        <f>IF('Personnel Yr 1'!$K$5&gt;1,IF(AND(OR(ISBLANK($I63),$I63=""),ISBLANK('Personnel Yr 1'!J63)),"",'Personnel Yr 1'!J63),"")</f>
        <v/>
      </c>
      <c r="K63" s="17" t="str">
        <f>IF('Personnel Yr 1'!$K$5&gt;1,IF(AND(OR(ISBLANK($I63),$I63=""),ISBLANK('Personnel Yr 1'!K63)),"",'Personnel Yr 1'!K63),"")</f>
        <v/>
      </c>
      <c r="L63" s="17" t="str">
        <f>IF('Personnel Yr 1'!$K$5&gt;1,IF(AND(OR(ISBLANK($I63),$I63=""),ISBLANK('Personnel Yr 1'!L63)),"",'Personnel Yr 1'!L63),"")</f>
        <v/>
      </c>
      <c r="M63" s="32" t="str">
        <f>IF('Personnel Yr 1'!$K$5&gt;1,IF(AND(NOT(ISBLANK('Personnel Yr 1'!M63)),'Personnel Yr 1'!M63&lt;&gt;""),(('Personnel Yr 1'!M63*'Personnel Yr 1'!$D$5)+'Personnel Yr 1'!M63),""),"")</f>
        <v/>
      </c>
      <c r="N63" s="34" t="str">
        <f t="shared" si="9"/>
        <v/>
      </c>
      <c r="O63" s="40" t="str">
        <f t="shared" si="10"/>
        <v/>
      </c>
      <c r="P63" s="15"/>
    </row>
    <row r="64" spans="1:17" x14ac:dyDescent="0.2">
      <c r="A64" s="4">
        <v>12</v>
      </c>
      <c r="B64" s="5" t="str">
        <f>IF('Personnel Yr 1'!$K$5&gt;1,IF(ISBLANK('Personnel Yr 1'!B64),"",'Personnel Yr 1'!B64),"")</f>
        <v/>
      </c>
      <c r="C64" s="17" t="str">
        <f>IF('Personnel Yr 1'!$K$5&gt;1,IF(ISBLANK('Personnel Yr 1'!C64),"",'Personnel Yr 1'!C64),"")</f>
        <v/>
      </c>
      <c r="D64" s="17" t="str">
        <f>IF('Personnel Yr 1'!$K$5&gt;1,IF(ISBLANK('Personnel Yr 1'!D64),"",'Personnel Yr 1'!D64),"")</f>
        <v/>
      </c>
      <c r="E64" s="17" t="str">
        <f>IF('Personnel Yr 1'!$K$5&gt;1,IF(ISBLANK('Personnel Yr 1'!E64),"",'Personnel Yr 1'!E64),"")</f>
        <v/>
      </c>
      <c r="F64" s="17" t="str">
        <f>IF('Personnel Yr 1'!$K$5&gt;1,IF(ISBLANK('Personnel Yr 1'!F64),"",'Personnel Yr 1'!F64),"")</f>
        <v/>
      </c>
      <c r="G64" s="483" t="str">
        <f>IF('Personnel Yr 1'!$K$5&gt;1,IF(ISBLANK('Personnel Yr 1'!G64),"",'Personnel Yr 1'!G64),"")</f>
        <v/>
      </c>
      <c r="H64" s="484"/>
      <c r="I64" s="485"/>
      <c r="J64" s="17" t="str">
        <f>IF('Personnel Yr 1'!$K$5&gt;1,IF(AND(OR(ISBLANK($I64),$I64=""),ISBLANK('Personnel Yr 1'!J64)),"",'Personnel Yr 1'!J64),"")</f>
        <v/>
      </c>
      <c r="K64" s="17" t="str">
        <f>IF('Personnel Yr 1'!$K$5&gt;1,IF(AND(OR(ISBLANK($I64),$I64=""),ISBLANK('Personnel Yr 1'!K64)),"",'Personnel Yr 1'!K64),"")</f>
        <v/>
      </c>
      <c r="L64" s="17" t="str">
        <f>IF('Personnel Yr 1'!$K$5&gt;1,IF(AND(OR(ISBLANK($I64),$I64=""),ISBLANK('Personnel Yr 1'!L64)),"",'Personnel Yr 1'!L64),"")</f>
        <v/>
      </c>
      <c r="M64" s="32" t="str">
        <f>IF('Personnel Yr 1'!$K$5&gt;1,IF(AND(NOT(ISBLANK('Personnel Yr 1'!M64)),'Personnel Yr 1'!M64&lt;&gt;""),(('Personnel Yr 1'!M64*'Personnel Yr 1'!$D$5)+'Personnel Yr 1'!M64),""),"")</f>
        <v/>
      </c>
      <c r="N64" s="34" t="str">
        <f t="shared" si="9"/>
        <v/>
      </c>
      <c r="O64" s="40" t="str">
        <f t="shared" si="10"/>
        <v/>
      </c>
      <c r="P64" s="15"/>
    </row>
    <row r="65" spans="1:16" x14ac:dyDescent="0.2">
      <c r="A65" s="4">
        <v>13</v>
      </c>
      <c r="B65" s="5" t="str">
        <f>IF('Personnel Yr 1'!$K$5&gt;1,IF(ISBLANK('Personnel Yr 1'!B65),"",'Personnel Yr 1'!B65),"")</f>
        <v/>
      </c>
      <c r="C65" s="17" t="str">
        <f>IF('Personnel Yr 1'!$K$5&gt;1,IF(ISBLANK('Personnel Yr 1'!C65),"",'Personnel Yr 1'!C65),"")</f>
        <v/>
      </c>
      <c r="D65" s="17" t="str">
        <f>IF('Personnel Yr 1'!$K$5&gt;1,IF(ISBLANK('Personnel Yr 1'!D65),"",'Personnel Yr 1'!D65),"")</f>
        <v/>
      </c>
      <c r="E65" s="17" t="str">
        <f>IF('Personnel Yr 1'!$K$5&gt;1,IF(ISBLANK('Personnel Yr 1'!E65),"",'Personnel Yr 1'!E65),"")</f>
        <v/>
      </c>
      <c r="F65" s="17" t="str">
        <f>IF('Personnel Yr 1'!$K$5&gt;1,IF(ISBLANK('Personnel Yr 1'!F65),"",'Personnel Yr 1'!F65),"")</f>
        <v/>
      </c>
      <c r="G65" s="483" t="str">
        <f>IF('Personnel Yr 1'!$K$5&gt;1,IF(ISBLANK('Personnel Yr 1'!G65),"",'Personnel Yr 1'!G65),"")</f>
        <v/>
      </c>
      <c r="H65" s="484"/>
      <c r="I65" s="485"/>
      <c r="J65" s="17" t="str">
        <f>IF('Personnel Yr 1'!$K$5&gt;1,IF(AND(OR(ISBLANK($I65),$I65=""),ISBLANK('Personnel Yr 1'!J65)),"",'Personnel Yr 1'!J65),"")</f>
        <v/>
      </c>
      <c r="K65" s="17" t="str">
        <f>IF('Personnel Yr 1'!$K$5&gt;1,IF(AND(OR(ISBLANK($I65),$I65=""),ISBLANK('Personnel Yr 1'!K65)),"",'Personnel Yr 1'!K65),"")</f>
        <v/>
      </c>
      <c r="L65" s="17" t="str">
        <f>IF('Personnel Yr 1'!$K$5&gt;1,IF(AND(OR(ISBLANK($I65),$I65=""),ISBLANK('Personnel Yr 1'!L65)),"",'Personnel Yr 1'!L65),"")</f>
        <v/>
      </c>
      <c r="M65" s="32" t="str">
        <f>IF('Personnel Yr 1'!$K$5&gt;1,IF(AND(NOT(ISBLANK('Personnel Yr 1'!M65)),'Personnel Yr 1'!M65&lt;&gt;""),(('Personnel Yr 1'!M65*'Personnel Yr 1'!$D$5)+'Personnel Yr 1'!M65),""),"")</f>
        <v/>
      </c>
      <c r="N65" s="34" t="str">
        <f t="shared" si="9"/>
        <v/>
      </c>
      <c r="O65" s="40" t="str">
        <f t="shared" si="10"/>
        <v/>
      </c>
      <c r="P65" s="15"/>
    </row>
    <row r="66" spans="1:16" x14ac:dyDescent="0.2">
      <c r="A66" s="4">
        <v>14</v>
      </c>
      <c r="B66" s="5" t="str">
        <f>IF('Personnel Yr 1'!$K$5&gt;1,IF(ISBLANK('Personnel Yr 1'!B66),"",'Personnel Yr 1'!B66),"")</f>
        <v/>
      </c>
      <c r="C66" s="17" t="str">
        <f>IF('Personnel Yr 1'!$K$5&gt;1,IF(ISBLANK('Personnel Yr 1'!C66),"",'Personnel Yr 1'!C66),"")</f>
        <v/>
      </c>
      <c r="D66" s="17" t="str">
        <f>IF('Personnel Yr 1'!$K$5&gt;1,IF(ISBLANK('Personnel Yr 1'!D66),"",'Personnel Yr 1'!D66),"")</f>
        <v/>
      </c>
      <c r="E66" s="17" t="str">
        <f>IF('Personnel Yr 1'!$K$5&gt;1,IF(ISBLANK('Personnel Yr 1'!E66),"",'Personnel Yr 1'!E66),"")</f>
        <v/>
      </c>
      <c r="F66" s="17" t="str">
        <f>IF('Personnel Yr 1'!$K$5&gt;1,IF(ISBLANK('Personnel Yr 1'!F66),"",'Personnel Yr 1'!F66),"")</f>
        <v/>
      </c>
      <c r="G66" s="483" t="str">
        <f>IF('Personnel Yr 1'!$K$5&gt;1,IF(ISBLANK('Personnel Yr 1'!G66),"",'Personnel Yr 1'!G66),"")</f>
        <v/>
      </c>
      <c r="H66" s="484"/>
      <c r="I66" s="485"/>
      <c r="J66" s="17" t="str">
        <f>IF('Personnel Yr 1'!$K$5&gt;1,IF(AND(OR(ISBLANK($I66),$I66=""),ISBLANK('Personnel Yr 1'!J66)),"",'Personnel Yr 1'!J66),"")</f>
        <v/>
      </c>
      <c r="K66" s="17" t="str">
        <f>IF('Personnel Yr 1'!$K$5&gt;1,IF(AND(OR(ISBLANK($I66),$I66=""),ISBLANK('Personnel Yr 1'!K66)),"",'Personnel Yr 1'!K66),"")</f>
        <v/>
      </c>
      <c r="L66" s="17" t="str">
        <f>IF('Personnel Yr 1'!$K$5&gt;1,IF(AND(OR(ISBLANK($I66),$I66=""),ISBLANK('Personnel Yr 1'!L66)),"",'Personnel Yr 1'!L66),"")</f>
        <v/>
      </c>
      <c r="M66" s="32" t="str">
        <f>IF('Personnel Yr 1'!$K$5&gt;1,IF(AND(NOT(ISBLANK('Personnel Yr 1'!M66)),'Personnel Yr 1'!M66&lt;&gt;""),(('Personnel Yr 1'!M66*'Personnel Yr 1'!$D$5)+'Personnel Yr 1'!M66),""),"")</f>
        <v/>
      </c>
      <c r="N66" s="34" t="str">
        <f t="shared" si="9"/>
        <v/>
      </c>
      <c r="O66" s="40" t="str">
        <f t="shared" si="10"/>
        <v/>
      </c>
      <c r="P66" s="15"/>
    </row>
    <row r="67" spans="1:16" x14ac:dyDescent="0.2">
      <c r="A67" s="4">
        <v>15</v>
      </c>
      <c r="B67" s="5" t="str">
        <f>IF('Personnel Yr 1'!$K$5&gt;1,IF(ISBLANK('Personnel Yr 1'!B67),"",'Personnel Yr 1'!B67),"")</f>
        <v/>
      </c>
      <c r="C67" s="17" t="str">
        <f>IF('Personnel Yr 1'!$K$5&gt;1,IF(ISBLANK('Personnel Yr 1'!C67),"",'Personnel Yr 1'!C67),"")</f>
        <v/>
      </c>
      <c r="D67" s="17" t="str">
        <f>IF('Personnel Yr 1'!$K$5&gt;1,IF(ISBLANK('Personnel Yr 1'!D67),"",'Personnel Yr 1'!D67),"")</f>
        <v/>
      </c>
      <c r="E67" s="17" t="str">
        <f>IF('Personnel Yr 1'!$K$5&gt;1,IF(ISBLANK('Personnel Yr 1'!E67),"",'Personnel Yr 1'!E67),"")</f>
        <v/>
      </c>
      <c r="F67" s="17" t="str">
        <f>IF('Personnel Yr 1'!$K$5&gt;1,IF(ISBLANK('Personnel Yr 1'!F67),"",'Personnel Yr 1'!F67),"")</f>
        <v/>
      </c>
      <c r="G67" s="483" t="str">
        <f>IF('Personnel Yr 1'!$K$5&gt;1,IF(ISBLANK('Personnel Yr 1'!G67),"",'Personnel Yr 1'!G67),"")</f>
        <v/>
      </c>
      <c r="H67" s="484"/>
      <c r="I67" s="485"/>
      <c r="J67" s="17" t="str">
        <f>IF('Personnel Yr 1'!$K$5&gt;1,IF(AND(OR(ISBLANK($I67),$I67=""),ISBLANK('Personnel Yr 1'!J67)),"",'Personnel Yr 1'!J67),"")</f>
        <v/>
      </c>
      <c r="K67" s="17" t="str">
        <f>IF('Personnel Yr 1'!$K$5&gt;1,IF(AND(OR(ISBLANK($I67),$I67=""),ISBLANK('Personnel Yr 1'!K67)),"",'Personnel Yr 1'!K67),"")</f>
        <v/>
      </c>
      <c r="L67" s="17" t="str">
        <f>IF('Personnel Yr 1'!$K$5&gt;1,IF(AND(OR(ISBLANK($I67),$I67=""),ISBLANK('Personnel Yr 1'!L67)),"",'Personnel Yr 1'!L67),"")</f>
        <v/>
      </c>
      <c r="M67" s="32" t="str">
        <f>IF('Personnel Yr 1'!$K$5&gt;1,IF(AND(NOT(ISBLANK('Personnel Yr 1'!M67)),'Personnel Yr 1'!M67&lt;&gt;""),(('Personnel Yr 1'!M67*'Personnel Yr 1'!$D$5)+'Personnel Yr 1'!M67),""),"")</f>
        <v/>
      </c>
      <c r="N67" s="34" t="str">
        <f t="shared" si="9"/>
        <v/>
      </c>
      <c r="O67" s="40" t="str">
        <f t="shared" si="10"/>
        <v/>
      </c>
      <c r="P67" s="15"/>
    </row>
    <row r="68" spans="1:16" x14ac:dyDescent="0.2">
      <c r="A68" s="4">
        <v>16</v>
      </c>
      <c r="B68" s="5" t="str">
        <f>IF('Personnel Yr 1'!$K$5&gt;1,IF(ISBLANK('Personnel Yr 1'!B68),"",'Personnel Yr 1'!B68),"")</f>
        <v/>
      </c>
      <c r="C68" s="17" t="str">
        <f>IF('Personnel Yr 1'!$K$5&gt;1,IF(ISBLANK('Personnel Yr 1'!C68),"",'Personnel Yr 1'!C68),"")</f>
        <v/>
      </c>
      <c r="D68" s="17" t="str">
        <f>IF('Personnel Yr 1'!$K$5&gt;1,IF(ISBLANK('Personnel Yr 1'!D68),"",'Personnel Yr 1'!D68),"")</f>
        <v/>
      </c>
      <c r="E68" s="17" t="str">
        <f>IF('Personnel Yr 1'!$K$5&gt;1,IF(ISBLANK('Personnel Yr 1'!E68),"",'Personnel Yr 1'!E68),"")</f>
        <v/>
      </c>
      <c r="F68" s="17" t="str">
        <f>IF('Personnel Yr 1'!$K$5&gt;1,IF(ISBLANK('Personnel Yr 1'!F68),"",'Personnel Yr 1'!F68),"")</f>
        <v/>
      </c>
      <c r="G68" s="483" t="str">
        <f>IF('Personnel Yr 1'!$K$5&gt;1,IF(ISBLANK('Personnel Yr 1'!G68),"",'Personnel Yr 1'!G68),"")</f>
        <v/>
      </c>
      <c r="H68" s="484"/>
      <c r="I68" s="485"/>
      <c r="J68" s="17" t="str">
        <f>IF('Personnel Yr 1'!$K$5&gt;1,IF(AND(OR(ISBLANK($I68),$I68=""),ISBLANK('Personnel Yr 1'!J68)),"",'Personnel Yr 1'!J68),"")</f>
        <v/>
      </c>
      <c r="K68" s="17" t="str">
        <f>IF('Personnel Yr 1'!$K$5&gt;1,IF(AND(OR(ISBLANK($I68),$I68=""),ISBLANK('Personnel Yr 1'!K68)),"",'Personnel Yr 1'!K68),"")</f>
        <v/>
      </c>
      <c r="L68" s="17" t="str">
        <f>IF('Personnel Yr 1'!$K$5&gt;1,IF(AND(OR(ISBLANK($I68),$I68=""),ISBLANK('Personnel Yr 1'!L68)),"",'Personnel Yr 1'!L68),"")</f>
        <v/>
      </c>
      <c r="M68" s="32" t="str">
        <f>IF('Personnel Yr 1'!$K$5&gt;1,IF(AND(NOT(ISBLANK('Personnel Yr 1'!M68)),'Personnel Yr 1'!M68&lt;&gt;""),(('Personnel Yr 1'!M68*'Personnel Yr 1'!$D$5)+'Personnel Yr 1'!M68),""),"")</f>
        <v/>
      </c>
      <c r="N68" s="34" t="str">
        <f t="shared" si="9"/>
        <v/>
      </c>
      <c r="O68" s="40" t="str">
        <f t="shared" si="10"/>
        <v/>
      </c>
      <c r="P68" s="188"/>
    </row>
    <row r="69" spans="1:16" x14ac:dyDescent="0.2">
      <c r="A69" s="4">
        <v>17</v>
      </c>
      <c r="B69" s="5" t="str">
        <f>IF('Personnel Yr 1'!$K$5&gt;1,IF(ISBLANK('Personnel Yr 1'!B69),"",'Personnel Yr 1'!B69),"")</f>
        <v/>
      </c>
      <c r="C69" s="17" t="str">
        <f>IF('Personnel Yr 1'!$K$5&gt;1,IF(ISBLANK('Personnel Yr 1'!C69),"",'Personnel Yr 1'!C69),"")</f>
        <v/>
      </c>
      <c r="D69" s="17" t="str">
        <f>IF('Personnel Yr 1'!$K$5&gt;1,IF(ISBLANK('Personnel Yr 1'!D69),"",'Personnel Yr 1'!D69),"")</f>
        <v/>
      </c>
      <c r="E69" s="17" t="str">
        <f>IF('Personnel Yr 1'!$K$5&gt;1,IF(ISBLANK('Personnel Yr 1'!E69),"",'Personnel Yr 1'!E69),"")</f>
        <v/>
      </c>
      <c r="F69" s="17" t="str">
        <f>IF('Personnel Yr 1'!$K$5&gt;1,IF(ISBLANK('Personnel Yr 1'!F69),"",'Personnel Yr 1'!F69),"")</f>
        <v/>
      </c>
      <c r="G69" s="483" t="str">
        <f>IF('Personnel Yr 1'!$K$5&gt;1,IF(ISBLANK('Personnel Yr 1'!G69),"",'Personnel Yr 1'!G69),"")</f>
        <v/>
      </c>
      <c r="H69" s="484"/>
      <c r="I69" s="485"/>
      <c r="J69" s="17" t="str">
        <f>IF('Personnel Yr 1'!$K$5&gt;1,IF(AND(OR(ISBLANK($I69),$I69=""),ISBLANK('Personnel Yr 1'!J69)),"",'Personnel Yr 1'!J69),"")</f>
        <v/>
      </c>
      <c r="K69" s="17" t="str">
        <f>IF('Personnel Yr 1'!$K$5&gt;1,IF(AND(OR(ISBLANK($I69),$I69=""),ISBLANK('Personnel Yr 1'!K69)),"",'Personnel Yr 1'!K69),"")</f>
        <v/>
      </c>
      <c r="L69" s="17" t="str">
        <f>IF('Personnel Yr 1'!$K$5&gt;1,IF(AND(OR(ISBLANK($I69),$I69=""),ISBLANK('Personnel Yr 1'!L69)),"",'Personnel Yr 1'!L69),"")</f>
        <v/>
      </c>
      <c r="M69" s="32" t="str">
        <f>IF('Personnel Yr 1'!$K$5&gt;1,IF(AND(NOT(ISBLANK('Personnel Yr 1'!M69)),'Personnel Yr 1'!M69&lt;&gt;""),(('Personnel Yr 1'!M69*'Personnel Yr 1'!$D$5)+'Personnel Yr 1'!M69),""),"")</f>
        <v/>
      </c>
      <c r="N69" s="34" t="str">
        <f t="shared" si="9"/>
        <v/>
      </c>
      <c r="O69" s="40" t="str">
        <f t="shared" si="10"/>
        <v/>
      </c>
      <c r="P69" s="188"/>
    </row>
    <row r="70" spans="1:16" x14ac:dyDescent="0.2">
      <c r="A70" s="4">
        <v>18</v>
      </c>
      <c r="B70" s="5" t="str">
        <f>IF('Personnel Yr 1'!$K$5&gt;1,IF(ISBLANK('Personnel Yr 1'!B70),"",'Personnel Yr 1'!B70),"")</f>
        <v/>
      </c>
      <c r="C70" s="17" t="str">
        <f>IF('Personnel Yr 1'!$K$5&gt;1,IF(ISBLANK('Personnel Yr 1'!C70),"",'Personnel Yr 1'!C70),"")</f>
        <v/>
      </c>
      <c r="D70" s="17" t="str">
        <f>IF('Personnel Yr 1'!$K$5&gt;1,IF(ISBLANK('Personnel Yr 1'!D70),"",'Personnel Yr 1'!D70),"")</f>
        <v/>
      </c>
      <c r="E70" s="17" t="str">
        <f>IF('Personnel Yr 1'!$K$5&gt;1,IF(ISBLANK('Personnel Yr 1'!E70),"",'Personnel Yr 1'!E70),"")</f>
        <v/>
      </c>
      <c r="F70" s="17" t="str">
        <f>IF('Personnel Yr 1'!$K$5&gt;1,IF(ISBLANK('Personnel Yr 1'!F70),"",'Personnel Yr 1'!F70),"")</f>
        <v/>
      </c>
      <c r="G70" s="483" t="str">
        <f>IF('Personnel Yr 1'!$K$5&gt;1,IF(ISBLANK('Personnel Yr 1'!G70),"",'Personnel Yr 1'!G70),"")</f>
        <v/>
      </c>
      <c r="H70" s="484"/>
      <c r="I70" s="485"/>
      <c r="J70" s="17" t="str">
        <f>IF('Personnel Yr 1'!$K$5&gt;1,IF(AND(OR(ISBLANK($I70),$I70=""),ISBLANK('Personnel Yr 1'!J70)),"",'Personnel Yr 1'!J70),"")</f>
        <v/>
      </c>
      <c r="K70" s="17" t="str">
        <f>IF('Personnel Yr 1'!$K$5&gt;1,IF(AND(OR(ISBLANK($I70),$I70=""),ISBLANK('Personnel Yr 1'!K70)),"",'Personnel Yr 1'!K70),"")</f>
        <v/>
      </c>
      <c r="L70" s="17" t="str">
        <f>IF('Personnel Yr 1'!$K$5&gt;1,IF(AND(OR(ISBLANK($I70),$I70=""),ISBLANK('Personnel Yr 1'!L70)),"",'Personnel Yr 1'!L70),"")</f>
        <v/>
      </c>
      <c r="M70" s="32" t="str">
        <f>IF('Personnel Yr 1'!$K$5&gt;1,IF(AND(NOT(ISBLANK('Personnel Yr 1'!M70)),'Personnel Yr 1'!M70&lt;&gt;""),(('Personnel Yr 1'!M70*'Personnel Yr 1'!$D$5)+'Personnel Yr 1'!M70),""),"")</f>
        <v/>
      </c>
      <c r="N70" s="34" t="str">
        <f t="shared" si="9"/>
        <v/>
      </c>
      <c r="O70" s="40" t="str">
        <f t="shared" si="10"/>
        <v/>
      </c>
      <c r="P70" s="188"/>
    </row>
    <row r="71" spans="1:16" x14ac:dyDescent="0.2">
      <c r="A71" s="4">
        <v>19</v>
      </c>
      <c r="B71" s="5" t="str">
        <f>IF('Personnel Yr 1'!$K$5&gt;1,IF(ISBLANK('Personnel Yr 1'!B71),"",'Personnel Yr 1'!B71),"")</f>
        <v/>
      </c>
      <c r="C71" s="17" t="str">
        <f>IF('Personnel Yr 1'!$K$5&gt;1,IF(ISBLANK('Personnel Yr 1'!C71),"",'Personnel Yr 1'!C71),"")</f>
        <v/>
      </c>
      <c r="D71" s="17" t="str">
        <f>IF('Personnel Yr 1'!$K$5&gt;1,IF(ISBLANK('Personnel Yr 1'!D71),"",'Personnel Yr 1'!D71),"")</f>
        <v/>
      </c>
      <c r="E71" s="17" t="str">
        <f>IF('Personnel Yr 1'!$K$5&gt;1,IF(ISBLANK('Personnel Yr 1'!E71),"",'Personnel Yr 1'!E71),"")</f>
        <v/>
      </c>
      <c r="F71" s="17" t="str">
        <f>IF('Personnel Yr 1'!$K$5&gt;1,IF(ISBLANK('Personnel Yr 1'!F71),"",'Personnel Yr 1'!F71),"")</f>
        <v/>
      </c>
      <c r="G71" s="483" t="str">
        <f>IF('Personnel Yr 1'!$K$5&gt;1,IF(ISBLANK('Personnel Yr 1'!G71),"",'Personnel Yr 1'!G71),"")</f>
        <v/>
      </c>
      <c r="H71" s="484"/>
      <c r="I71" s="485"/>
      <c r="J71" s="17" t="str">
        <f>IF('Personnel Yr 1'!$K$5&gt;1,IF(AND(OR(ISBLANK($I71),$I71=""),ISBLANK('Personnel Yr 1'!J71)),"",'Personnel Yr 1'!J71),"")</f>
        <v/>
      </c>
      <c r="K71" s="17" t="str">
        <f>IF('Personnel Yr 1'!$K$5&gt;1,IF(AND(OR(ISBLANK($I71),$I71=""),ISBLANK('Personnel Yr 1'!K71)),"",'Personnel Yr 1'!K71),"")</f>
        <v/>
      </c>
      <c r="L71" s="17" t="str">
        <f>IF('Personnel Yr 1'!$K$5&gt;1,IF(AND(OR(ISBLANK($I71),$I71=""),ISBLANK('Personnel Yr 1'!L71)),"",'Personnel Yr 1'!L71),"")</f>
        <v/>
      </c>
      <c r="M71" s="32" t="str">
        <f>IF('Personnel Yr 1'!$K$5&gt;1,IF(AND(NOT(ISBLANK('Personnel Yr 1'!M71)),'Personnel Yr 1'!M71&lt;&gt;""),(('Personnel Yr 1'!M71*'Personnel Yr 1'!$D$5)+'Personnel Yr 1'!M71),""),"")</f>
        <v/>
      </c>
      <c r="N71" s="34" t="str">
        <f t="shared" si="9"/>
        <v/>
      </c>
      <c r="O71" s="40" t="str">
        <f t="shared" si="10"/>
        <v/>
      </c>
      <c r="P71" s="188"/>
    </row>
    <row r="72" spans="1:16" ht="13.5" thickBot="1" x14ac:dyDescent="0.25">
      <c r="A72" s="4">
        <v>20</v>
      </c>
      <c r="B72" s="202" t="str">
        <f>IF('Personnel Yr 1'!$K$5&gt;1,IF(ISBLANK('Personnel Yr 1'!B72),"",'Personnel Yr 1'!B72),"")</f>
        <v/>
      </c>
      <c r="C72" s="22" t="str">
        <f>IF('Personnel Yr 1'!$K$5&gt;1,IF(ISBLANK('Personnel Yr 1'!C72),"",'Personnel Yr 1'!C72),"")</f>
        <v/>
      </c>
      <c r="D72" s="22" t="str">
        <f>IF('Personnel Yr 1'!$K$5&gt;1,IF(ISBLANK('Personnel Yr 1'!D72),"",'Personnel Yr 1'!D72),"")</f>
        <v/>
      </c>
      <c r="E72" s="22" t="str">
        <f>IF('Personnel Yr 1'!$K$5&gt;1,IF(ISBLANK('Personnel Yr 1'!E72),"",'Personnel Yr 1'!E72),"")</f>
        <v/>
      </c>
      <c r="F72" s="22" t="str">
        <f>IF('Personnel Yr 1'!$K$5&gt;1,IF(ISBLANK('Personnel Yr 1'!F72),"",'Personnel Yr 1'!F72),"")</f>
        <v/>
      </c>
      <c r="G72" s="550" t="str">
        <f>IF('Personnel Yr 1'!$K$5&gt;1,IF(ISBLANK('Personnel Yr 1'!G72),"",'Personnel Yr 1'!G72),"")</f>
        <v/>
      </c>
      <c r="H72" s="551"/>
      <c r="I72" s="552"/>
      <c r="J72" s="22" t="str">
        <f>IF('Personnel Yr 1'!$K$5&gt;1,IF(AND(OR(ISBLANK($I72),$I72=""),ISBLANK('Personnel Yr 1'!J72)),"",'Personnel Yr 1'!J72),"")</f>
        <v/>
      </c>
      <c r="K72" s="22" t="str">
        <f>IF('Personnel Yr 1'!$K$5&gt;1,IF(AND(OR(ISBLANK($I72),$I72=""),ISBLANK('Personnel Yr 1'!K72)),"",'Personnel Yr 1'!K72),"")</f>
        <v/>
      </c>
      <c r="L72" s="22" t="str">
        <f>IF('Personnel Yr 1'!$K$5&gt;1,IF(AND(OR(ISBLANK($I72),$I72=""),ISBLANK('Personnel Yr 1'!L72)),"",'Personnel Yr 1'!L72),"")</f>
        <v/>
      </c>
      <c r="M72" s="33" t="str">
        <f>IF('Personnel Yr 1'!$K$5&gt;1,IF(AND(NOT(ISBLANK('Personnel Yr 1'!M72)),'Personnel Yr 1'!M72&lt;&gt;""),(('Personnel Yr 1'!M72*'Personnel Yr 1'!$D$5)+'Personnel Yr 1'!M72),""),"")</f>
        <v/>
      </c>
      <c r="N72" s="42" t="str">
        <f t="shared" si="9"/>
        <v/>
      </c>
      <c r="O72" s="208" t="str">
        <f t="shared" si="10"/>
        <v/>
      </c>
      <c r="P72" s="188"/>
    </row>
    <row r="73" spans="1:16" ht="13.5" thickBot="1" x14ac:dyDescent="0.25">
      <c r="B73" s="406">
        <f>COUNTIF(E53:E67,"*")</f>
        <v>15</v>
      </c>
      <c r="O73" s="327">
        <f>SUM(O53:O67)</f>
        <v>0</v>
      </c>
      <c r="P73" s="414"/>
    </row>
    <row r="74" spans="1:16" x14ac:dyDescent="0.2">
      <c r="I74" s="8"/>
      <c r="J74" s="9"/>
      <c r="K74" s="9"/>
      <c r="L74" s="9"/>
      <c r="M74" s="9"/>
      <c r="N74" s="9"/>
      <c r="O74" s="330"/>
    </row>
    <row r="76" spans="1:16" ht="13.5" thickBot="1" x14ac:dyDescent="0.25"/>
    <row r="77" spans="1:16" ht="12.75" customHeight="1" x14ac:dyDescent="0.2">
      <c r="G77" s="339"/>
      <c r="H77" s="339"/>
      <c r="I77" s="533" t="s">
        <v>225</v>
      </c>
      <c r="J77" s="534"/>
      <c r="K77" s="534"/>
      <c r="L77" s="534"/>
      <c r="M77" s="535"/>
    </row>
    <row r="78" spans="1:16" ht="12.75" customHeight="1" thickBot="1" x14ac:dyDescent="0.25">
      <c r="G78" s="339"/>
      <c r="H78" s="339"/>
      <c r="I78" s="536"/>
      <c r="J78" s="537"/>
      <c r="K78" s="537"/>
      <c r="L78" s="537"/>
      <c r="M78" s="538"/>
    </row>
    <row r="79" spans="1:16" ht="12.75" customHeight="1" x14ac:dyDescent="0.2">
      <c r="E79" s="273"/>
      <c r="G79" s="339"/>
      <c r="H79" s="339"/>
      <c r="I79" s="525" t="s">
        <v>230</v>
      </c>
      <c r="J79" s="555"/>
      <c r="K79" s="555"/>
      <c r="L79" s="555"/>
      <c r="M79" s="556"/>
    </row>
    <row r="80" spans="1:16" ht="12.75" customHeight="1" x14ac:dyDescent="0.2">
      <c r="G80" s="339"/>
      <c r="H80" s="339"/>
      <c r="I80" s="557"/>
      <c r="J80" s="558"/>
      <c r="K80" s="558"/>
      <c r="L80" s="558"/>
      <c r="M80" s="559"/>
    </row>
    <row r="81" spans="5:13" ht="12.75" customHeight="1" x14ac:dyDescent="0.2">
      <c r="E81" s="273"/>
      <c r="G81" s="339"/>
      <c r="H81" s="339"/>
      <c r="I81" s="557"/>
      <c r="J81" s="558"/>
      <c r="K81" s="558"/>
      <c r="L81" s="558"/>
      <c r="M81" s="559"/>
    </row>
    <row r="82" spans="5:13" ht="12.75" customHeight="1" x14ac:dyDescent="0.2">
      <c r="G82" s="339"/>
      <c r="H82" s="339"/>
      <c r="I82" s="557"/>
      <c r="J82" s="558"/>
      <c r="K82" s="558"/>
      <c r="L82" s="558"/>
      <c r="M82" s="559"/>
    </row>
    <row r="83" spans="5:13" ht="12.75" customHeight="1" thickBot="1" x14ac:dyDescent="0.25">
      <c r="G83" s="339"/>
      <c r="H83" s="339"/>
      <c r="I83" s="560"/>
      <c r="J83" s="561"/>
      <c r="K83" s="561"/>
      <c r="L83" s="561"/>
      <c r="M83" s="562"/>
    </row>
    <row r="84" spans="5:13" ht="12.75" customHeight="1" thickBot="1" x14ac:dyDescent="0.25">
      <c r="G84" s="339"/>
      <c r="H84" s="339"/>
      <c r="I84" s="200" t="s">
        <v>226</v>
      </c>
      <c r="J84" s="193"/>
      <c r="K84" s="199" t="s">
        <v>227</v>
      </c>
      <c r="L84" s="199" t="s">
        <v>228</v>
      </c>
      <c r="M84" s="198" t="s">
        <v>229</v>
      </c>
    </row>
    <row r="85" spans="5:13" ht="13.5" customHeight="1" thickBot="1" x14ac:dyDescent="0.25">
      <c r="G85" s="339"/>
      <c r="H85" s="339"/>
      <c r="I85" s="194">
        <v>0</v>
      </c>
      <c r="J85" s="195"/>
      <c r="K85" s="196">
        <f>I85*12</f>
        <v>0</v>
      </c>
      <c r="L85" s="196">
        <f>I85*8.5</f>
        <v>0</v>
      </c>
      <c r="M85" s="197">
        <f>I85*3.5</f>
        <v>0</v>
      </c>
    </row>
  </sheetData>
  <sheetProtection algorithmName="SHA-512" hashValue="kx1VqNCfOdf9AJXouIuTVLMep0GV9F7HM5o6Ay5AKF3g81LIz48kYBNByrofOVefxf8tE0r4HMI2NiiuzAXIUQ==" saltValue="+gaZG37MNL8UpkpYHWDPfw==" spinCount="100000" sheet="1" objects="1" scenarios="1"/>
  <dataConsolidate/>
  <mergeCells count="47">
    <mergeCell ref="I77:M78"/>
    <mergeCell ref="I79:M83"/>
    <mergeCell ref="J50:N50"/>
    <mergeCell ref="C45:I45"/>
    <mergeCell ref="C46:I46"/>
    <mergeCell ref="C49:F49"/>
    <mergeCell ref="J49:N49"/>
    <mergeCell ref="C47:I47"/>
    <mergeCell ref="C48:I48"/>
    <mergeCell ref="B51:D51"/>
    <mergeCell ref="G55:I55"/>
    <mergeCell ref="G58:I58"/>
    <mergeCell ref="G61:I61"/>
    <mergeCell ref="G64:I64"/>
    <mergeCell ref="G67:I67"/>
    <mergeCell ref="G56:I56"/>
    <mergeCell ref="B37:C37"/>
    <mergeCell ref="D37:L37"/>
    <mergeCell ref="A3:O3"/>
    <mergeCell ref="C39:I39"/>
    <mergeCell ref="C44:I44"/>
    <mergeCell ref="C42:I42"/>
    <mergeCell ref="C16:F16"/>
    <mergeCell ref="C43:F43"/>
    <mergeCell ref="C40:I40"/>
    <mergeCell ref="C41:I41"/>
    <mergeCell ref="B18:D18"/>
    <mergeCell ref="A1:O1"/>
    <mergeCell ref="B5:C5"/>
    <mergeCell ref="C15:F15"/>
    <mergeCell ref="K16:N16"/>
    <mergeCell ref="G15:N15"/>
    <mergeCell ref="G57:I57"/>
    <mergeCell ref="P52:Q52"/>
    <mergeCell ref="G53:I53"/>
    <mergeCell ref="G54:I54"/>
    <mergeCell ref="G65:I65"/>
    <mergeCell ref="G66:I66"/>
    <mergeCell ref="G62:I62"/>
    <mergeCell ref="G63:I63"/>
    <mergeCell ref="G59:I59"/>
    <mergeCell ref="G60:I60"/>
    <mergeCell ref="G72:I72"/>
    <mergeCell ref="G68:I68"/>
    <mergeCell ref="G69:I69"/>
    <mergeCell ref="G70:I70"/>
    <mergeCell ref="G71:I71"/>
  </mergeCells>
  <phoneticPr fontId="5" type="noConversion"/>
  <conditionalFormatting sqref="I7:I14">
    <cfRule type="expression" dxfId="25" priority="30">
      <formula>$Z$7</formula>
    </cfRule>
  </conditionalFormatting>
  <conditionalFormatting sqref="I20:I34">
    <cfRule type="expression" dxfId="24" priority="7">
      <formula>$Z$7</formula>
    </cfRule>
  </conditionalFormatting>
  <conditionalFormatting sqref="I43">
    <cfRule type="cellIs" dxfId="23" priority="36" stopIfTrue="1" operator="equal">
      <formula>""</formula>
    </cfRule>
  </conditionalFormatting>
  <conditionalFormatting sqref="M53:M72">
    <cfRule type="expression" dxfId="22" priority="2">
      <formula>$Z$7</formula>
    </cfRule>
  </conditionalFormatting>
  <dataValidations count="5">
    <dataValidation type="list" allowBlank="1" showInputMessage="1" showErrorMessage="1" sqref="I43" xr:uid="{00000000-0002-0000-0200-000000000000}">
      <formula1>Grad</formula1>
    </dataValidation>
    <dataValidation type="list" allowBlank="1" showInputMessage="1" showErrorMessage="1" sqref="B7:B14 B20:B34 B53:B72" xr:uid="{00000000-0002-0000-0200-000001000000}">
      <formula1>Prefix</formula1>
    </dataValidation>
    <dataValidation type="list" allowBlank="1" showInputMessage="1" showErrorMessage="1" sqref="G7:G14 G20:G34" xr:uid="{00000000-0002-0000-0200-000002000000}">
      <formula1>Roles</formula1>
    </dataValidation>
    <dataValidation type="list" allowBlank="1" showInputMessage="1" showErrorMessage="1" sqref="G53:I72" xr:uid="{143C7AFF-280C-46B0-AA7E-B4EDAAA7CFD5}">
      <formula1>OtherRoles</formula1>
    </dataValidation>
    <dataValidation type="list" allowBlank="1" showInputMessage="1" showErrorMessage="1" sqref="H7:H14 H20:H34" xr:uid="{5373560F-CF3C-4A74-ACBF-14502B625CE6}">
      <formula1>Designation</formula1>
    </dataValidation>
  </dataValidations>
  <printOptions horizontalCentered="1"/>
  <pageMargins left="0.25" right="0.25" top="0.5" bottom="0.5" header="0.5" footer="0.5"/>
  <pageSetup scale="78" orientation="landscape" r:id="rId1"/>
  <headerFooter alignWithMargins="0">
    <oddFooter>&amp;RPrinted On: &amp;D &amp;T</oddFooter>
  </headerFooter>
  <rowBreaks count="1" manualBreakCount="1">
    <brk id="50" max="14" man="1"/>
  </rowBreaks>
  <ignoredErrors>
    <ignoredError sqref="B39 I46:L46 I45:L45 J43:L43 I42:L42 B8:G14 I39:L39 D39:G39 D42:G42 G43 D44:G44 D46:G46 D45:G45 I44:L44 B7:F7" unlockedFormula="1"/>
  </ignoredErrors>
  <extLst>
    <ext xmlns:x14="http://schemas.microsoft.com/office/spreadsheetml/2009/9/main" uri="{78C0D931-6437-407d-A8EE-F0AAD7539E65}">
      <x14:conditionalFormattings>
        <x14:conditionalFormatting xmlns:xm="http://schemas.microsoft.com/office/excel/2006/main">
          <x14:cfRule type="expression" priority="1" id="{6765A108-AFED-46A0-8453-4E02403088CB}">
            <xm:f>IF(O5="Federal - NIH",SUM('Non-personnel'!$H$41,$O$43)/IF(OR(ISBLANK($B$43),NOT(ISNUMBER($B$43))),1,$B$43)&gt;NIHGradLimit)</xm:f>
            <x14:dxf>
              <fill>
                <patternFill>
                  <bgColor rgb="FFFFFF00"/>
                </patternFill>
              </fill>
            </x14:dxf>
          </x14:cfRule>
          <xm:sqref>O43</xm:sqref>
        </x14:conditionalFormatting>
      </x14:conditionalFormattings>
    </ext>
    <ext xmlns:x14="http://schemas.microsoft.com/office/spreadsheetml/2009/9/main" uri="{CCE6A557-97BC-4b89-ADB6-D9C93CAAB3DF}">
      <x14:dataValidations xmlns:xm="http://schemas.microsoft.com/office/excel/2006/main" count="1">
        <x14:dataValidation type="custom" errorStyle="information" allowBlank="1" showInputMessage="1" showErrorMessage="1" errorTitle="Salary Cap Error" error="Base salary should remain under $221,900 for calandar appointments and $157,179 for academic appointments." xr:uid="{1E10C3AD-9696-4EC7-A0FF-003AA01576F6}">
          <x14:formula1>
            <xm:f>IF(AND('Personnel Yr 1'!$O$5="Federal - NIH",OR(NOT(ISBLANK($J7)),NOT(ISBLANK($K7)),NOT(ISBLANK($L7)),$J7&lt;&gt;"",$K7&lt;&gt;"",$L7&lt;&gt;"")),IF($J7&gt;0,$I7&lt;=NIHSalaryCap,$I7&lt;=(NIHSalaryCap*8.5)/12),TRUE)</xm:f>
          </x14:formula1>
          <xm:sqref>J53:L72 I7:L14 I20:L34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N83"/>
  <sheetViews>
    <sheetView workbookViewId="0">
      <selection sqref="A1:O1"/>
    </sheetView>
  </sheetViews>
  <sheetFormatPr defaultRowHeight="12.75" x14ac:dyDescent="0.2"/>
  <cols>
    <col min="1" max="1" width="3" bestFit="1" customWidth="1"/>
    <col min="2" max="2" width="6.42578125" customWidth="1"/>
    <col min="3" max="3" width="18.7109375" customWidth="1"/>
    <col min="4" max="4" width="9.28515625" customWidth="1"/>
    <col min="5" max="5" width="18.7109375" customWidth="1"/>
    <col min="6" max="6" width="6.28515625" customWidth="1"/>
    <col min="7" max="7" width="14.7109375" customWidth="1"/>
    <col min="8" max="8" width="30.7109375" customWidth="1"/>
    <col min="9" max="9" width="10.5703125" customWidth="1"/>
    <col min="10" max="12" width="7.42578125" customWidth="1"/>
    <col min="13" max="15" width="10.5703125" customWidth="1"/>
    <col min="16" max="16" width="72.140625" customWidth="1"/>
    <col min="17" max="26" width="9.140625" style="335"/>
    <col min="27" max="27" width="9" style="335" customWidth="1"/>
    <col min="28" max="31" width="9.140625" style="335"/>
    <col min="32" max="40" width="9.140625" style="273"/>
  </cols>
  <sheetData>
    <row r="1" spans="1:26" ht="18" x14ac:dyDescent="0.25">
      <c r="A1" s="539" t="s">
        <v>71</v>
      </c>
      <c r="B1" s="539"/>
      <c r="C1" s="539"/>
      <c r="D1" s="539"/>
      <c r="E1" s="539"/>
      <c r="F1" s="539"/>
      <c r="G1" s="539"/>
      <c r="H1" s="539"/>
      <c r="I1" s="539"/>
      <c r="J1" s="539"/>
      <c r="K1" s="539"/>
      <c r="L1" s="539"/>
      <c r="M1" s="539"/>
      <c r="N1" s="539"/>
      <c r="O1" s="539"/>
    </row>
    <row r="2" spans="1:26" x14ac:dyDescent="0.2">
      <c r="A2" s="1"/>
      <c r="B2" s="1"/>
      <c r="C2" s="1"/>
      <c r="D2" s="1"/>
      <c r="E2" s="1"/>
      <c r="F2" s="1"/>
      <c r="G2" s="1"/>
      <c r="H2" s="1"/>
      <c r="I2" s="1"/>
      <c r="J2" s="1"/>
      <c r="K2" s="1"/>
      <c r="L2" s="1"/>
      <c r="M2" s="1"/>
      <c r="N2" s="1"/>
      <c r="O2" s="1"/>
    </row>
    <row r="3" spans="1:26" ht="18" x14ac:dyDescent="0.25">
      <c r="A3" s="539" t="s">
        <v>73</v>
      </c>
      <c r="B3" s="539"/>
      <c r="C3" s="539"/>
      <c r="D3" s="539"/>
      <c r="E3" s="539"/>
      <c r="F3" s="539"/>
      <c r="G3" s="539"/>
      <c r="H3" s="539"/>
      <c r="I3" s="539"/>
      <c r="J3" s="539"/>
      <c r="K3" s="539"/>
      <c r="L3" s="539"/>
      <c r="M3" s="539"/>
      <c r="N3" s="539"/>
      <c r="O3" s="539"/>
    </row>
    <row r="4" spans="1:26" ht="18" x14ac:dyDescent="0.25">
      <c r="A4" s="51"/>
      <c r="B4" s="51"/>
      <c r="C4" s="51"/>
      <c r="D4" s="51"/>
      <c r="E4" s="51"/>
      <c r="F4" s="51"/>
      <c r="G4" s="51"/>
      <c r="H4" s="51"/>
      <c r="I4" s="51"/>
      <c r="J4" s="51"/>
      <c r="K4" s="51"/>
      <c r="L4" s="51"/>
      <c r="M4" s="51"/>
      <c r="N4" s="51"/>
      <c r="O4" s="51"/>
    </row>
    <row r="5" spans="1:26" x14ac:dyDescent="0.2">
      <c r="B5" s="516" t="s">
        <v>5</v>
      </c>
      <c r="C5" s="516"/>
      <c r="D5" s="19"/>
      <c r="O5" s="335">
        <f>'Personnel Yr 2'!O5</f>
        <v>0</v>
      </c>
    </row>
    <row r="6" spans="1:26" ht="26.25" thickBot="1" x14ac:dyDescent="0.25">
      <c r="B6" s="2" t="s">
        <v>0</v>
      </c>
      <c r="C6" s="2" t="s">
        <v>1</v>
      </c>
      <c r="D6" s="2" t="s">
        <v>2</v>
      </c>
      <c r="E6" s="2" t="s">
        <v>3</v>
      </c>
      <c r="F6" s="2" t="s">
        <v>4</v>
      </c>
      <c r="G6" s="2" t="s">
        <v>39</v>
      </c>
      <c r="H6" s="2" t="s">
        <v>532</v>
      </c>
      <c r="I6" s="2" t="s">
        <v>40</v>
      </c>
      <c r="J6" s="2" t="s">
        <v>56</v>
      </c>
      <c r="K6" s="2" t="s">
        <v>57</v>
      </c>
      <c r="L6" s="2" t="s">
        <v>58</v>
      </c>
      <c r="M6" s="3" t="s">
        <v>41</v>
      </c>
      <c r="N6" s="2" t="s">
        <v>42</v>
      </c>
      <c r="O6" s="2" t="s">
        <v>38</v>
      </c>
      <c r="P6" s="2" t="s">
        <v>224</v>
      </c>
      <c r="Q6" s="334" t="s">
        <v>62</v>
      </c>
      <c r="R6" s="334" t="s">
        <v>63</v>
      </c>
      <c r="S6" s="334" t="s">
        <v>64</v>
      </c>
      <c r="U6" s="334" t="s">
        <v>62</v>
      </c>
      <c r="V6" s="334" t="s">
        <v>63</v>
      </c>
      <c r="W6" s="334" t="s">
        <v>64</v>
      </c>
      <c r="Z6" s="335" t="s">
        <v>449</v>
      </c>
    </row>
    <row r="7" spans="1:26" x14ac:dyDescent="0.2">
      <c r="A7" s="4">
        <v>1</v>
      </c>
      <c r="B7" s="21" t="str">
        <f>IF('Personnel Yr 1'!$K$5&gt;2,IF(NOT(OR(ISBLANK('Personnel Yr 2'!B7),'Personnel Yr 2'!B7="")),'Personnel Yr 2'!B7,""),"")</f>
        <v/>
      </c>
      <c r="C7" s="13" t="str">
        <f>IF('Personnel Yr 1'!$K$5&gt;2,IF(ISBLANK('Personnel Yr 2'!C7),"",'Personnel Yr 2'!C7),"")</f>
        <v/>
      </c>
      <c r="D7" s="13" t="str">
        <f>IF('Personnel Yr 1'!$K$5&gt;2,IF(ISBLANK('Personnel Yr 2'!D7),"",'Personnel Yr 2'!D7),"")</f>
        <v/>
      </c>
      <c r="E7" s="13" t="str">
        <f>IF('Personnel Yr 1'!$K$5&gt;2,IF(ISBLANK('Personnel Yr 2'!E7),"",'Personnel Yr 2'!E7),"")</f>
        <v/>
      </c>
      <c r="F7" s="13" t="str">
        <f>IF('Personnel Yr 1'!$K$5&gt;2,IF(ISBLANK('Personnel Yr 2'!F7),"",'Personnel Yr 2'!F7),"")</f>
        <v/>
      </c>
      <c r="G7" s="13" t="str">
        <f>IF('Personnel Yr 1'!$K$5&gt;2,IF(ISBLANK('Personnel Yr 2'!G7),"",'Personnel Yr 2'!G7),"")</f>
        <v/>
      </c>
      <c r="H7" s="13" t="str">
        <f>IF('Personnel Yr 1'!$K$5&gt;2,IF(ISBLANK('Personnel Yr 2'!H7),"",'Personnel Yr 2'!H7),"")</f>
        <v/>
      </c>
      <c r="I7" s="204" t="str">
        <f>IF('Personnel Yr 1'!$K$5&gt;2,IF(NOT(OR(ISBLANK('Personnel Yr 2'!I7),'Personnel Yr 2'!I7="")),(('Personnel Yr 2'!I7*'Personnel Yr 1'!$D$5)+'Personnel Yr 2'!I7),""),"")</f>
        <v/>
      </c>
      <c r="J7" s="13" t="str">
        <f>IF('Personnel Yr 1'!$K$5&gt;2,IF(AND(OR(ISBLANK(I7),I7=""),ISBLANK('Personnel Yr 2'!J7)),"",'Personnel Yr 2'!J7),"")</f>
        <v/>
      </c>
      <c r="K7" s="13" t="str">
        <f>IF('Personnel Yr 1'!$K$5&gt;2,IF(AND(OR(ISBLANK(J7),J7=""),ISBLANK('Personnel Yr 2'!K7)),"",'Personnel Yr 2'!K7),"")</f>
        <v/>
      </c>
      <c r="L7" s="13" t="str">
        <f>IF('Personnel Yr 1'!$K$5&gt;2,IF(AND(OR(ISBLANK(K7),K7=""),ISBLANK('Personnel Yr 2'!L7)),"",'Personnel Yr 2'!L7),"")</f>
        <v/>
      </c>
      <c r="M7" s="35" t="str">
        <f>IF('Personnel Yr 1'!$K$5&gt;2,IF(NOT(OR(ISBLANK(I7),I7="")), IF(OR(AND(ISBLANK(J7),ISBLANK(K7),ISBLANK(L7)),AND(J7="",K7="",L7="")),0, IF((AND((J7&gt;0),((K7+L7)&gt;0))),"Error", IF((J7&gt;0),ROUND((IF(AND('Personnel Yr 1'!$P$5&gt;0,I7&gt;'Personnel Yr 1'!$P$5),'Personnel Yr 1'!$P$5,I7)*(J7/12)),2),ROUND((IF(AND('Personnel Yr 1'!$P$5&gt;0,I7&gt;'Personnel Yr 1'!$P$5),'Personnel Yr 1'!$P$5,I7)*((K7+L7)/8.5)),2)))),""),"")</f>
        <v/>
      </c>
      <c r="N7" s="35" t="str">
        <f>IF('Personnel Yr 1'!$K$5&gt;2,IF(OR(ISBLANK(M7),M7=""),"",ROUND(SUM(U7:W7),2)),"")</f>
        <v/>
      </c>
      <c r="O7" s="36" t="str">
        <f>IF('Personnel Yr 1'!$K$5&gt;2,IF(OR(ISBLANK(N7),N7=""),"",ROUND(SUM(M7:N7),2)),"")</f>
        <v/>
      </c>
      <c r="P7" s="12"/>
      <c r="Q7" s="335">
        <f>IF('Personnel Yr 1'!$K$5&gt;2,IF(NOT(OR(ISBLANK(J7),J7="")),(I7/12)*J7,""),0)</f>
        <v>0</v>
      </c>
      <c r="R7" s="335">
        <f>IF('Personnel Yr 1'!$K$5&gt;2,IF(NOT(OR(ISBLANK(K7),K7="")),(I7/8.5)*K7,""),0)</f>
        <v>0</v>
      </c>
      <c r="S7" s="335">
        <f>IF('Personnel Yr 1'!$K$5&gt;2,IF(NOT(OR(ISBLANK(L7),L7="")),(I7/8.5)*L7,""),0)</f>
        <v>0</v>
      </c>
      <c r="U7" s="335">
        <f t="shared" ref="U7:U14" si="0">IF(OR(ISBLANK(Q7),Q7=""),0,Q7*_xlfn.XLOOKUP("*"&amp;H7&amp;"*",BenB,Per,,2))</f>
        <v>0</v>
      </c>
      <c r="V7" s="335">
        <f t="shared" ref="V7:V14" si="1">IF(OR(ISBLANK(R7),R7=""),0,R7*_xlfn.XLOOKUP("*"&amp;H7&amp;"*",BenB,Per,,2))</f>
        <v>0</v>
      </c>
      <c r="W7" s="335">
        <f t="shared" ref="W7:W14" si="2">IF(OR(ISBLANK(S7),S7=""),0,S7*_xlfn.XLOOKUP("Summer",Ben,Per))</f>
        <v>0</v>
      </c>
      <c r="Y7" s="335">
        <v>7</v>
      </c>
      <c r="Z7" s="335" t="b">
        <f>IF('Personnel Yr 1'!$K$5&gt;2,IF(OR($O$5&lt;&gt;"Federal - NIH",OR(AND(ISBLANK(J7),ISBLANK(K7),ISBLANK(L7)),AND(J7="",K7="",L7=""))),FALSE,IF(J7&gt;0,I7&gt;NIHSalaryCap,I7&gt;(NIHSalaryCap*8.5)/12)),FALSE)</f>
        <v>0</v>
      </c>
    </row>
    <row r="8" spans="1:26" x14ac:dyDescent="0.2">
      <c r="A8" s="4">
        <v>2</v>
      </c>
      <c r="B8" s="5" t="str">
        <f>IF('Personnel Yr 1'!$K$5&gt;2,IF(NOT(OR(ISBLANK('Personnel Yr 2'!B8),'Personnel Yr 2'!B8="")),'Personnel Yr 2'!B8,""),"")</f>
        <v/>
      </c>
      <c r="C8" s="17" t="str">
        <f>IF('Personnel Yr 1'!$K$5&gt;2,IF(ISBLANK('Personnel Yr 2'!C8),"",'Personnel Yr 2'!C8),"")</f>
        <v/>
      </c>
      <c r="D8" s="17" t="str">
        <f>IF('Personnel Yr 1'!$K$5&gt;2,IF(ISBLANK('Personnel Yr 2'!D8),"",'Personnel Yr 2'!D8),"")</f>
        <v/>
      </c>
      <c r="E8" s="17" t="str">
        <f>IF('Personnel Yr 1'!$K$5&gt;2,IF(ISBLANK('Personnel Yr 2'!E8),"",'Personnel Yr 2'!E8),"")</f>
        <v/>
      </c>
      <c r="F8" s="17" t="str">
        <f>IF('Personnel Yr 1'!$K$5&gt;2,IF(ISBLANK('Personnel Yr 2'!F8),"",'Personnel Yr 2'!F8),"")</f>
        <v/>
      </c>
      <c r="G8" s="17" t="str">
        <f>IF('Personnel Yr 1'!$K$5&gt;2,IF(ISBLANK('Personnel Yr 2'!G8),"",'Personnel Yr 2'!G8),"")</f>
        <v/>
      </c>
      <c r="H8" s="17" t="str">
        <f>IF('Personnel Yr 1'!$K$5&gt;2,IF(ISBLANK('Personnel Yr 2'!H8),"",'Personnel Yr 2'!H8),"")</f>
        <v/>
      </c>
      <c r="I8" s="32" t="str">
        <f>IF('Personnel Yr 1'!$K$5&gt;2,IF(NOT(OR(ISBLANK('Personnel Yr 2'!I8),'Personnel Yr 2'!I8="")),(('Personnel Yr 2'!I8*'Personnel Yr 1'!$D$5)+'Personnel Yr 2'!I8),""),"")</f>
        <v/>
      </c>
      <c r="J8" s="17" t="str">
        <f>IF('Personnel Yr 1'!$K$5&gt;2,IF(AND(OR(ISBLANK(I8),I8=""),ISBLANK('Personnel Yr 2'!J8)),"",'Personnel Yr 2'!J8),"")</f>
        <v/>
      </c>
      <c r="K8" s="17" t="str">
        <f>IF('Personnel Yr 1'!$K$5&gt;2,IF(AND(OR(ISBLANK(J8),J8=""),ISBLANK('Personnel Yr 2'!K8)),"",'Personnel Yr 2'!K8),"")</f>
        <v/>
      </c>
      <c r="L8" s="17" t="str">
        <f>IF('Personnel Yr 1'!$K$5&gt;2,IF(AND(OR(ISBLANK(K8),K8=""),ISBLANK('Personnel Yr 2'!L8)),"",'Personnel Yr 2'!L8),"")</f>
        <v/>
      </c>
      <c r="M8" s="34" t="str">
        <f>IF('Personnel Yr 1'!$K$5&gt;2,IF(NOT(OR(ISBLANK(I8),I8="")), IF(OR(AND(ISBLANK(J8),ISBLANK(K8),ISBLANK(L8)),AND(J8="",K8="",L8="")),0, IF((AND((J8&gt;0),((K8+L8)&gt;0))),"Error", IF((J8&gt;0),ROUND((IF(AND('Personnel Yr 1'!$P$5&gt;0,I8&gt;'Personnel Yr 1'!$P$5),'Personnel Yr 1'!$P$5,I8)*(J8/12)),2),ROUND((IF(AND('Personnel Yr 1'!$P$5&gt;0,I8&gt;'Personnel Yr 1'!$P$5),'Personnel Yr 1'!$P$5,I8)*((K8+L8)/8.5)),2)))),""),"")</f>
        <v/>
      </c>
      <c r="N8" s="34" t="str">
        <f>IF('Personnel Yr 1'!$K$5&gt;2,IF(OR(ISBLANK(M8),M8=""),"",ROUND(SUM(U8:W8),2)),"")</f>
        <v/>
      </c>
      <c r="O8" s="41" t="str">
        <f>IF('Personnel Yr 1'!$K$5&gt;2,IF(OR(ISBLANK(N8),N8=""),"",ROUND(SUM(M8:N8),2)),"")</f>
        <v/>
      </c>
      <c r="P8" s="15"/>
      <c r="Q8" s="335">
        <f>IF('Personnel Yr 1'!$K$5&gt;2,IF(NOT(OR(ISBLANK(J8),J8="")),(I8/12)*J8,""),0)</f>
        <v>0</v>
      </c>
      <c r="R8" s="335">
        <f>IF('Personnel Yr 1'!$K$5&gt;2,IF(NOT(OR(ISBLANK(K8),K8="")),(I8/8.5)*K8,""),0)</f>
        <v>0</v>
      </c>
      <c r="S8" s="335">
        <f>IF('Personnel Yr 1'!$K$5&gt;2,IF(NOT(OR(ISBLANK(L8),L8="")),(I8/8.5)*L8,""),0)</f>
        <v>0</v>
      </c>
      <c r="U8" s="335">
        <f t="shared" si="0"/>
        <v>0</v>
      </c>
      <c r="V8" s="335">
        <f t="shared" si="1"/>
        <v>0</v>
      </c>
      <c r="W8" s="335">
        <f t="shared" si="2"/>
        <v>0</v>
      </c>
      <c r="Y8" s="335">
        <v>8</v>
      </c>
      <c r="Z8" s="335" t="b">
        <f>IF('Personnel Yr 1'!$K$5&gt;2,IF(OR($O$5&lt;&gt;"Federal - NIH",OR(AND(ISBLANK(J8),ISBLANK(K8),ISBLANK(L8)),AND(J8="",K8="",L8=""))),FALSE,IF(J8&gt;0,I8&gt;NIHSalaryCap,I8&gt;(NIHSalaryCap*8.5)/12)),FALSE)</f>
        <v>0</v>
      </c>
    </row>
    <row r="9" spans="1:26" x14ac:dyDescent="0.2">
      <c r="A9" s="4">
        <v>3</v>
      </c>
      <c r="B9" s="5" t="str">
        <f>IF('Personnel Yr 1'!$K$5&gt;2,IF(NOT(OR(ISBLANK('Personnel Yr 2'!B9),'Personnel Yr 2'!B9="")),'Personnel Yr 2'!B9,""),"")</f>
        <v/>
      </c>
      <c r="C9" s="17" t="str">
        <f>IF('Personnel Yr 1'!$K$5&gt;2,IF(ISBLANK('Personnel Yr 2'!C9),"",'Personnel Yr 2'!C9),"")</f>
        <v/>
      </c>
      <c r="D9" s="17" t="str">
        <f>IF('Personnel Yr 1'!$K$5&gt;2,IF(ISBLANK('Personnel Yr 2'!D9),"",'Personnel Yr 2'!D9),"")</f>
        <v/>
      </c>
      <c r="E9" s="17" t="str">
        <f>IF('Personnel Yr 1'!$K$5&gt;2,IF(ISBLANK('Personnel Yr 2'!E9),"",'Personnel Yr 2'!E9),"")</f>
        <v/>
      </c>
      <c r="F9" s="17" t="str">
        <f>IF('Personnel Yr 1'!$K$5&gt;2,IF(ISBLANK('Personnel Yr 2'!F9),"",'Personnel Yr 2'!F9),"")</f>
        <v/>
      </c>
      <c r="G9" s="17" t="str">
        <f>IF('Personnel Yr 1'!$K$5&gt;2,IF(ISBLANK('Personnel Yr 2'!G9),"",'Personnel Yr 2'!G9),"")</f>
        <v/>
      </c>
      <c r="H9" s="17" t="str">
        <f>IF('Personnel Yr 1'!$K$5&gt;2,IF(ISBLANK('Personnel Yr 2'!H9),"",'Personnel Yr 2'!H9),"")</f>
        <v/>
      </c>
      <c r="I9" s="32" t="str">
        <f>IF('Personnel Yr 1'!$K$5&gt;2,IF(NOT(OR(ISBLANK('Personnel Yr 2'!I9),'Personnel Yr 2'!I9="")),(('Personnel Yr 2'!I9*'Personnel Yr 1'!$D$5)+'Personnel Yr 2'!I9),""),"")</f>
        <v/>
      </c>
      <c r="J9" s="17" t="str">
        <f>IF('Personnel Yr 1'!$K$5&gt;2,IF(AND(OR(ISBLANK(I9),I9=""),ISBLANK('Personnel Yr 2'!J9)),"",'Personnel Yr 2'!J9),"")</f>
        <v/>
      </c>
      <c r="K9" s="17" t="str">
        <f>IF('Personnel Yr 1'!$K$5&gt;2,IF(AND(OR(ISBLANK(J9),J9=""),ISBLANK('Personnel Yr 2'!K9)),"",'Personnel Yr 2'!K9),"")</f>
        <v/>
      </c>
      <c r="L9" s="17" t="str">
        <f>IF('Personnel Yr 1'!$K$5&gt;2,IF(AND(OR(ISBLANK(K9),K9=""),ISBLANK('Personnel Yr 2'!L9)),"",'Personnel Yr 2'!L9),"")</f>
        <v/>
      </c>
      <c r="M9" s="34" t="str">
        <f>IF('Personnel Yr 1'!$K$5&gt;2,IF(NOT(OR(ISBLANK(I9),I9="")), IF(OR(AND(ISBLANK(J9),ISBLANK(K9),ISBLANK(L9)),AND(J9="",K9="",L9="")),0, IF((AND((J9&gt;0),((K9+L9)&gt;0))),"Error", IF((J9&gt;0),ROUND((IF(AND('Personnel Yr 1'!$P$5&gt;0,I9&gt;'Personnel Yr 1'!$P$5),'Personnel Yr 1'!$P$5,I9)*(J9/12)),2),ROUND((IF(AND('Personnel Yr 1'!$P$5&gt;0,I9&gt;'Personnel Yr 1'!$P$5),'Personnel Yr 1'!$P$5,I9)*((K9+L9)/8.5)),2)))),""),"")</f>
        <v/>
      </c>
      <c r="N9" s="34" t="str">
        <f>IF('Personnel Yr 1'!$K$5&gt;2,IF(OR(ISBLANK(M9),M9=""),"",ROUND(SUM(U9:W9),2)),"")</f>
        <v/>
      </c>
      <c r="O9" s="41" t="str">
        <f>IF('Personnel Yr 1'!$K$5&gt;2,IF(OR(ISBLANK(N9),N9=""),"",ROUND(SUM(M9:N9),2)),"")</f>
        <v/>
      </c>
      <c r="P9" s="187"/>
      <c r="Q9" s="335">
        <f>IF('Personnel Yr 1'!$K$5&gt;2,IF(NOT(OR(ISBLANK(J9),J9="")),(I9/12)*J9,""),0)</f>
        <v>0</v>
      </c>
      <c r="R9" s="335">
        <f>IF('Personnel Yr 1'!$K$5&gt;2,IF(NOT(OR(ISBLANK(K9),K9="")),(I9/8.5)*K9,""),0)</f>
        <v>0</v>
      </c>
      <c r="S9" s="335">
        <f>IF('Personnel Yr 1'!$K$5&gt;2,IF(NOT(OR(ISBLANK(L9),L9="")),(I9/8.5)*L9,""),0)</f>
        <v>0</v>
      </c>
      <c r="U9" s="335">
        <f t="shared" si="0"/>
        <v>0</v>
      </c>
      <c r="V9" s="335">
        <f t="shared" si="1"/>
        <v>0</v>
      </c>
      <c r="W9" s="335">
        <f t="shared" si="2"/>
        <v>0</v>
      </c>
      <c r="Y9" s="335">
        <v>9</v>
      </c>
      <c r="Z9" s="335" t="b">
        <f>IF('Personnel Yr 1'!$K$5&gt;2,IF(OR($O$5&lt;&gt;"Federal - NIH",OR(AND(ISBLANK(J9),ISBLANK(K9),ISBLANK(L9)),AND(J9="",K9="",L9=""))),FALSE,IF(J9&gt;0,I9&gt;NIHSalaryCap,I9&gt;(NIHSalaryCap*8.5)/12)),FALSE)</f>
        <v>0</v>
      </c>
    </row>
    <row r="10" spans="1:26" x14ac:dyDescent="0.2">
      <c r="A10" s="4">
        <v>4</v>
      </c>
      <c r="B10" s="5" t="str">
        <f>IF('Personnel Yr 1'!$K$5&gt;2,IF(NOT(OR(ISBLANK('Personnel Yr 2'!B10),'Personnel Yr 2'!B10="")),'Personnel Yr 2'!B10,""),"")</f>
        <v/>
      </c>
      <c r="C10" s="17" t="str">
        <f>IF('Personnel Yr 1'!$K$5&gt;2,IF(ISBLANK('Personnel Yr 2'!C10),"",'Personnel Yr 2'!C10),"")</f>
        <v/>
      </c>
      <c r="D10" s="17" t="str">
        <f>IF('Personnel Yr 1'!$K$5&gt;2,IF(ISBLANK('Personnel Yr 2'!D10),"",'Personnel Yr 2'!D10),"")</f>
        <v/>
      </c>
      <c r="E10" s="17" t="str">
        <f>IF('Personnel Yr 1'!$K$5&gt;2,IF(ISBLANK('Personnel Yr 2'!E10),"",'Personnel Yr 2'!E10),"")</f>
        <v/>
      </c>
      <c r="F10" s="17" t="str">
        <f>IF('Personnel Yr 1'!$K$5&gt;2,IF(ISBLANK('Personnel Yr 2'!F10),"",'Personnel Yr 2'!F10),"")</f>
        <v/>
      </c>
      <c r="G10" s="17" t="str">
        <f>IF('Personnel Yr 1'!$K$5&gt;2,IF(ISBLANK('Personnel Yr 2'!G10),"",'Personnel Yr 2'!G10),"")</f>
        <v/>
      </c>
      <c r="H10" s="17" t="str">
        <f>IF('Personnel Yr 1'!$K$5&gt;2,IF(ISBLANK('Personnel Yr 2'!H10),"",'Personnel Yr 2'!H10),"")</f>
        <v/>
      </c>
      <c r="I10" s="32" t="str">
        <f>IF('Personnel Yr 1'!$K$5&gt;2,IF(NOT(OR(ISBLANK('Personnel Yr 2'!I10),'Personnel Yr 2'!I10="")),(('Personnel Yr 2'!I10*'Personnel Yr 1'!$D$5)+'Personnel Yr 2'!I10),""),"")</f>
        <v/>
      </c>
      <c r="J10" s="17" t="str">
        <f>IF('Personnel Yr 1'!$K$5&gt;2,IF(AND(OR(ISBLANK(I10),I10=""),ISBLANK('Personnel Yr 2'!J10)),"",'Personnel Yr 2'!J10),"")</f>
        <v/>
      </c>
      <c r="K10" s="17" t="str">
        <f>IF('Personnel Yr 1'!$K$5&gt;2,IF(AND(OR(ISBLANK(J10),J10=""),ISBLANK('Personnel Yr 2'!K10)),"",'Personnel Yr 2'!K10),"")</f>
        <v/>
      </c>
      <c r="L10" s="17" t="str">
        <f>IF('Personnel Yr 1'!$K$5&gt;2,IF(AND(OR(ISBLANK(K10),K10=""),ISBLANK('Personnel Yr 2'!L10)),"",'Personnel Yr 2'!L10),"")</f>
        <v/>
      </c>
      <c r="M10" s="34" t="str">
        <f>IF('Personnel Yr 1'!$K$5&gt;2,IF(NOT(OR(ISBLANK(I10),I10="")), IF(OR(AND(ISBLANK(J10),ISBLANK(K10),ISBLANK(L10)),AND(J10="",K10="",L10="")),0, IF((AND((J10&gt;0),((K10+L10)&gt;0))),"Error", IF((J10&gt;0),ROUND((IF(AND('Personnel Yr 1'!$P$5&gt;0,I10&gt;'Personnel Yr 1'!$P$5),'Personnel Yr 1'!$P$5,I10)*(J10/12)),2),ROUND((IF(AND('Personnel Yr 1'!$P$5&gt;0,I10&gt;'Personnel Yr 1'!$P$5),'Personnel Yr 1'!$P$5,I10)*((K10+L10)/8.5)),2)))),""),"")</f>
        <v/>
      </c>
      <c r="N10" s="34" t="str">
        <f>IF('Personnel Yr 1'!$K$5&gt;2,IF(OR(ISBLANK(M10),M10=""),"",ROUND(SUM(U10:W10),2)),"")</f>
        <v/>
      </c>
      <c r="O10" s="41" t="str">
        <f>IF('Personnel Yr 1'!$K$5&gt;2,IF(OR(ISBLANK(N10),N10=""),"",ROUND(SUM(M10:N10),2)),"")</f>
        <v/>
      </c>
      <c r="P10" s="188"/>
      <c r="Q10" s="335">
        <f>IF('Personnel Yr 1'!$K$5&gt;2,IF(NOT(OR(ISBLANK(J10),J10="")),(I10/12)*J10,""),0)</f>
        <v>0</v>
      </c>
      <c r="R10" s="335">
        <f>IF('Personnel Yr 1'!$K$5&gt;2,IF(NOT(OR(ISBLANK(K10),K10="")),(I10/8.5)*K10,""),0)</f>
        <v>0</v>
      </c>
      <c r="S10" s="335">
        <f>IF('Personnel Yr 1'!$K$5&gt;2,IF(NOT(OR(ISBLANK(L10),L10="")),(I10/8.5)*L10,""),0)</f>
        <v>0</v>
      </c>
      <c r="U10" s="335">
        <f t="shared" si="0"/>
        <v>0</v>
      </c>
      <c r="V10" s="335">
        <f t="shared" si="1"/>
        <v>0</v>
      </c>
      <c r="W10" s="335">
        <f t="shared" si="2"/>
        <v>0</v>
      </c>
      <c r="Y10" s="335">
        <v>10</v>
      </c>
      <c r="Z10" s="335" t="b">
        <f>IF('Personnel Yr 1'!$K$5&gt;2,IF(OR($O$5&lt;&gt;"Federal - NIH",OR(AND(ISBLANK(J10),ISBLANK(K10),ISBLANK(L10)),AND(J10="",K10="",L10=""))),FALSE,IF(J10&gt;0,I10&gt;NIHSalaryCap,I10&gt;(NIHSalaryCap*8.5)/12)),FALSE)</f>
        <v>0</v>
      </c>
    </row>
    <row r="11" spans="1:26" x14ac:dyDescent="0.2">
      <c r="A11" s="4">
        <v>5</v>
      </c>
      <c r="B11" s="5" t="str">
        <f>IF('Personnel Yr 1'!$K$5&gt;2,IF(NOT(OR(ISBLANK('Personnel Yr 2'!B11),'Personnel Yr 2'!B11="")),'Personnel Yr 2'!B11,""),"")</f>
        <v/>
      </c>
      <c r="C11" s="17" t="str">
        <f>IF('Personnel Yr 1'!$K$5&gt;2,IF(ISBLANK('Personnel Yr 2'!C11),"",'Personnel Yr 2'!C11),"")</f>
        <v/>
      </c>
      <c r="D11" s="17" t="str">
        <f>IF('Personnel Yr 1'!$K$5&gt;2,IF(ISBLANK('Personnel Yr 2'!D11),"",'Personnel Yr 2'!D11),"")</f>
        <v/>
      </c>
      <c r="E11" s="17" t="str">
        <f>IF('Personnel Yr 1'!$K$5&gt;2,IF(ISBLANK('Personnel Yr 2'!E11),"",'Personnel Yr 2'!E11),"")</f>
        <v/>
      </c>
      <c r="F11" s="17" t="str">
        <f>IF('Personnel Yr 1'!$K$5&gt;2,IF(ISBLANK('Personnel Yr 2'!F11),"",'Personnel Yr 2'!F11),"")</f>
        <v/>
      </c>
      <c r="G11" s="17" t="str">
        <f>IF('Personnel Yr 1'!$K$5&gt;2,IF(ISBLANK('Personnel Yr 2'!G11),"",'Personnel Yr 2'!G11),"")</f>
        <v/>
      </c>
      <c r="H11" s="17" t="str">
        <f>IF('Personnel Yr 1'!$K$5&gt;2,IF(ISBLANK('Personnel Yr 2'!H11),"",'Personnel Yr 2'!H11),"")</f>
        <v/>
      </c>
      <c r="I11" s="32" t="str">
        <f>IF('Personnel Yr 1'!$K$5&gt;2,IF(NOT(OR(ISBLANK('Personnel Yr 2'!I11),'Personnel Yr 2'!I11="")),(('Personnel Yr 2'!I11*'Personnel Yr 1'!$D$5)+'Personnel Yr 2'!I11),""),"")</f>
        <v/>
      </c>
      <c r="J11" s="17" t="str">
        <f>IF('Personnel Yr 1'!$K$5&gt;2,IF(AND(OR(ISBLANK(I11),I11=""),ISBLANK('Personnel Yr 2'!J11)),"",'Personnel Yr 2'!J11),"")</f>
        <v/>
      </c>
      <c r="K11" s="17" t="str">
        <f>IF('Personnel Yr 1'!$K$5&gt;2,IF(AND(OR(ISBLANK(J11),J11=""),ISBLANK('Personnel Yr 2'!K11)),"",'Personnel Yr 2'!K11),"")</f>
        <v/>
      </c>
      <c r="L11" s="17" t="str">
        <f>IF('Personnel Yr 1'!$K$5&gt;2,IF(AND(OR(ISBLANK(K11),K11=""),ISBLANK('Personnel Yr 2'!L11)),"",'Personnel Yr 2'!L11),"")</f>
        <v/>
      </c>
      <c r="M11" s="34" t="str">
        <f>IF('Personnel Yr 1'!$K$5&gt;2,IF(NOT(OR(ISBLANK(I11),I11="")), IF(OR(AND(ISBLANK(J11),ISBLANK(K11),ISBLANK(L11)),AND(J11="",K11="",L11="")),0, IF((AND((J11&gt;0),((K11+L11)&gt;0))),"Error", IF((J11&gt;0),ROUND((IF(AND('Personnel Yr 1'!$P$5&gt;0,I11&gt;'Personnel Yr 1'!$P$5),'Personnel Yr 1'!$P$5,I11)*(J11/12)),2),ROUND((IF(AND('Personnel Yr 1'!$P$5&gt;0,I11&gt;'Personnel Yr 1'!$P$5),'Personnel Yr 1'!$P$5,I11)*((K11+L11)/8.5)),2)))),""),"")</f>
        <v/>
      </c>
      <c r="N11" s="34" t="str">
        <f>IF('Personnel Yr 1'!$K$5&gt;2,IF(OR(ISBLANK(M11),M11=""),"",ROUND(SUM(U11:W11),2)),"")</f>
        <v/>
      </c>
      <c r="O11" s="41" t="str">
        <f>IF('Personnel Yr 1'!$K$5&gt;2,IF(OR(ISBLANK(N11),N11=""),"",ROUND(SUM(M11:N11),2)),"")</f>
        <v/>
      </c>
      <c r="P11" s="15"/>
      <c r="Q11" s="335">
        <f>IF('Personnel Yr 1'!$K$5&gt;2,IF(NOT(OR(ISBLANK(J11),J11="")),(I11/12)*J11,""),0)</f>
        <v>0</v>
      </c>
      <c r="R11" s="335">
        <f>IF('Personnel Yr 1'!$K$5&gt;2,IF(NOT(OR(ISBLANK(K11),K11="")),(I11/8.5)*K11,""),0)</f>
        <v>0</v>
      </c>
      <c r="S11" s="335">
        <f>IF('Personnel Yr 1'!$K$5&gt;2,IF(NOT(OR(ISBLANK(L11),L11="")),(I11/8.5)*L11,""),0)</f>
        <v>0</v>
      </c>
      <c r="U11" s="335">
        <f t="shared" si="0"/>
        <v>0</v>
      </c>
      <c r="V11" s="335">
        <f t="shared" si="1"/>
        <v>0</v>
      </c>
      <c r="W11" s="335">
        <f t="shared" si="2"/>
        <v>0</v>
      </c>
      <c r="Y11" s="335">
        <v>11</v>
      </c>
      <c r="Z11" s="335" t="b">
        <f>IF('Personnel Yr 1'!$K$5&gt;2,IF(OR($O$5&lt;&gt;"Federal - NIH",OR(AND(ISBLANK(J11),ISBLANK(K11),ISBLANK(L11)),AND(J11="",K11="",L11=""))),FALSE,IF(J11&gt;0,I11&gt;NIHSalaryCap,I11&gt;(NIHSalaryCap*8.5)/12)),FALSE)</f>
        <v>0</v>
      </c>
    </row>
    <row r="12" spans="1:26" x14ac:dyDescent="0.2">
      <c r="A12" s="4">
        <v>6</v>
      </c>
      <c r="B12" s="5" t="str">
        <f>IF('Personnel Yr 1'!$K$5&gt;2,IF(NOT(OR(ISBLANK('Personnel Yr 2'!B12),'Personnel Yr 2'!B12="")),'Personnel Yr 2'!B12,""),"")</f>
        <v/>
      </c>
      <c r="C12" s="17" t="str">
        <f>IF('Personnel Yr 1'!$K$5&gt;2,IF(ISBLANK('Personnel Yr 2'!C12),"",'Personnel Yr 2'!C12),"")</f>
        <v/>
      </c>
      <c r="D12" s="17" t="str">
        <f>IF('Personnel Yr 1'!$K$5&gt;2,IF(ISBLANK('Personnel Yr 2'!D12),"",'Personnel Yr 2'!D12),"")</f>
        <v/>
      </c>
      <c r="E12" s="17" t="str">
        <f>IF('Personnel Yr 1'!$K$5&gt;2,IF(ISBLANK('Personnel Yr 2'!E12),"",'Personnel Yr 2'!E12),"")</f>
        <v/>
      </c>
      <c r="F12" s="17" t="str">
        <f>IF('Personnel Yr 1'!$K$5&gt;2,IF(ISBLANK('Personnel Yr 2'!F12),"",'Personnel Yr 2'!F12),"")</f>
        <v/>
      </c>
      <c r="G12" s="17" t="str">
        <f>IF('Personnel Yr 1'!$K$5&gt;2,IF(ISBLANK('Personnel Yr 2'!G12),"",'Personnel Yr 2'!G12),"")</f>
        <v/>
      </c>
      <c r="H12" s="17" t="str">
        <f>IF('Personnel Yr 1'!$K$5&gt;2,IF(ISBLANK('Personnel Yr 2'!H12),"",'Personnel Yr 2'!H12),"")</f>
        <v/>
      </c>
      <c r="I12" s="32" t="str">
        <f>IF('Personnel Yr 1'!$K$5&gt;2,IF(NOT(OR(ISBLANK('Personnel Yr 2'!I12),'Personnel Yr 2'!I12="")),(('Personnel Yr 2'!I12*'Personnel Yr 1'!$D$5)+'Personnel Yr 2'!I12),""),"")</f>
        <v/>
      </c>
      <c r="J12" s="17" t="str">
        <f>IF('Personnel Yr 1'!$K$5&gt;2,IF(AND(OR(ISBLANK(I12),I12=""),ISBLANK('Personnel Yr 2'!J12)),"",'Personnel Yr 2'!J12),"")</f>
        <v/>
      </c>
      <c r="K12" s="17" t="str">
        <f>IF('Personnel Yr 1'!$K$5&gt;2,IF(AND(OR(ISBLANK(J12),J12=""),ISBLANK('Personnel Yr 2'!K12)),"",'Personnel Yr 2'!K12),"")</f>
        <v/>
      </c>
      <c r="L12" s="17" t="str">
        <f>IF('Personnel Yr 1'!$K$5&gt;2,IF(AND(OR(ISBLANK(K12),K12=""),ISBLANK('Personnel Yr 2'!L12)),"",'Personnel Yr 2'!L12),"")</f>
        <v/>
      </c>
      <c r="M12" s="34" t="str">
        <f>IF('Personnel Yr 1'!$K$5&gt;2,IF(NOT(OR(ISBLANK(I12),I12="")), IF(OR(AND(ISBLANK(J12),ISBLANK(K12),ISBLANK(L12)),AND(J12="",K12="",L12="")),0, IF((AND((J12&gt;0),((K12+L12)&gt;0))),"Error", IF((J12&gt;0),ROUND((IF(AND('Personnel Yr 1'!$P$5&gt;0,I12&gt;'Personnel Yr 1'!$P$5),'Personnel Yr 1'!$P$5,I12)*(J12/12)),2),ROUND((IF(AND('Personnel Yr 1'!$P$5&gt;0,I12&gt;'Personnel Yr 1'!$P$5),'Personnel Yr 1'!$P$5,I12)*((K12+L12)/8.5)),2)))),""),"")</f>
        <v/>
      </c>
      <c r="N12" s="34" t="str">
        <f>IF('Personnel Yr 1'!$K$5&gt;2,IF(OR(ISBLANK(M12),M12=""),"",ROUND(SUM(U12:W12),2)),"")</f>
        <v/>
      </c>
      <c r="O12" s="41" t="str">
        <f>IF('Personnel Yr 1'!$K$5&gt;2,IF(OR(ISBLANK(N12),N12=""),"",ROUND(SUM(M12:N12),2)),"")</f>
        <v/>
      </c>
      <c r="P12" s="15"/>
      <c r="Q12" s="335">
        <f>IF('Personnel Yr 1'!$K$5&gt;2,IF(NOT(OR(ISBLANK(J12),J12="")),(I12/12)*J12,""),0)</f>
        <v>0</v>
      </c>
      <c r="R12" s="335">
        <f>IF('Personnel Yr 1'!$K$5&gt;2,IF(NOT(OR(ISBLANK(K12),K12="")),(I12/8.5)*K12,""),0)</f>
        <v>0</v>
      </c>
      <c r="S12" s="335">
        <f>IF('Personnel Yr 1'!$K$5&gt;2,IF(NOT(OR(ISBLANK(L12),L12="")),(I12/8.5)*L12,""),0)</f>
        <v>0</v>
      </c>
      <c r="U12" s="335">
        <f t="shared" si="0"/>
        <v>0</v>
      </c>
      <c r="V12" s="335">
        <f t="shared" si="1"/>
        <v>0</v>
      </c>
      <c r="W12" s="335">
        <f t="shared" si="2"/>
        <v>0</v>
      </c>
      <c r="Y12" s="335">
        <v>12</v>
      </c>
      <c r="Z12" s="335" t="b">
        <f>IF('Personnel Yr 1'!$K$5&gt;2,IF(OR($O$5&lt;&gt;"Federal - NIH",OR(AND(ISBLANK(J12),ISBLANK(K12),ISBLANK(L12)),AND(J12="",K12="",L12=""))),FALSE,IF(J12&gt;0,I12&gt;NIHSalaryCap,I12&gt;(NIHSalaryCap*8.5)/12)),FALSE)</f>
        <v>0</v>
      </c>
    </row>
    <row r="13" spans="1:26" x14ac:dyDescent="0.2">
      <c r="A13" s="4">
        <v>7</v>
      </c>
      <c r="B13" s="5" t="str">
        <f>IF('Personnel Yr 1'!$K$5&gt;2,IF(NOT(OR(ISBLANK('Personnel Yr 2'!B13),'Personnel Yr 2'!B13="")),'Personnel Yr 2'!B13,""),"")</f>
        <v/>
      </c>
      <c r="C13" s="17" t="str">
        <f>IF('Personnel Yr 1'!$K$5&gt;2,IF(ISBLANK('Personnel Yr 2'!C13),"",'Personnel Yr 2'!C13),"")</f>
        <v/>
      </c>
      <c r="D13" s="17" t="str">
        <f>IF('Personnel Yr 1'!$K$5&gt;2,IF(ISBLANK('Personnel Yr 2'!D13),"",'Personnel Yr 2'!D13),"")</f>
        <v/>
      </c>
      <c r="E13" s="17" t="str">
        <f>IF('Personnel Yr 1'!$K$5&gt;2,IF(ISBLANK('Personnel Yr 2'!E13),"",'Personnel Yr 2'!E13),"")</f>
        <v/>
      </c>
      <c r="F13" s="17" t="str">
        <f>IF('Personnel Yr 1'!$K$5&gt;2,IF(ISBLANK('Personnel Yr 2'!F13),"",'Personnel Yr 2'!F13),"")</f>
        <v/>
      </c>
      <c r="G13" s="17" t="str">
        <f>IF('Personnel Yr 1'!$K$5&gt;2,IF(ISBLANK('Personnel Yr 2'!G13),"",'Personnel Yr 2'!G13),"")</f>
        <v/>
      </c>
      <c r="H13" s="17" t="str">
        <f>IF('Personnel Yr 1'!$K$5&gt;2,IF(ISBLANK('Personnel Yr 2'!H13),"",'Personnel Yr 2'!H13),"")</f>
        <v/>
      </c>
      <c r="I13" s="32" t="str">
        <f>IF('Personnel Yr 1'!$K$5&gt;2,IF(NOT(OR(ISBLANK('Personnel Yr 2'!I13),'Personnel Yr 2'!I13="")),(('Personnel Yr 2'!I13*'Personnel Yr 1'!$D$5)+'Personnel Yr 2'!I13),""),"")</f>
        <v/>
      </c>
      <c r="J13" s="17" t="str">
        <f>IF('Personnel Yr 1'!$K$5&gt;2,IF(AND(OR(ISBLANK(I13),I13=""),ISBLANK('Personnel Yr 2'!J13)),"",'Personnel Yr 2'!J13),"")</f>
        <v/>
      </c>
      <c r="K13" s="17" t="str">
        <f>IF('Personnel Yr 1'!$K$5&gt;2,IF(AND(OR(ISBLANK(J13),J13=""),ISBLANK('Personnel Yr 2'!K13)),"",'Personnel Yr 2'!K13),"")</f>
        <v/>
      </c>
      <c r="L13" s="17" t="str">
        <f>IF('Personnel Yr 1'!$K$5&gt;2,IF(AND(OR(ISBLANK(K13),K13=""),ISBLANK('Personnel Yr 2'!L13)),"",'Personnel Yr 2'!L13),"")</f>
        <v/>
      </c>
      <c r="M13" s="34" t="str">
        <f>IF('Personnel Yr 1'!$K$5&gt;2,IF(NOT(OR(ISBLANK(I13),I13="")), IF(OR(AND(ISBLANK(J13),ISBLANK(K13),ISBLANK(L13)),AND(J13="",K13="",L13="")),0, IF((AND((J13&gt;0),((K13+L13)&gt;0))),"Error", IF((J13&gt;0),ROUND((IF(AND('Personnel Yr 1'!$P$5&gt;0,I13&gt;'Personnel Yr 1'!$P$5),'Personnel Yr 1'!$P$5,I13)*(J13/12)),2),ROUND((IF(AND('Personnel Yr 1'!$P$5&gt;0,I13&gt;'Personnel Yr 1'!$P$5),'Personnel Yr 1'!$P$5,I13)*((K13+L13)/8.5)),2)))),""),"")</f>
        <v/>
      </c>
      <c r="N13" s="34" t="str">
        <f>IF('Personnel Yr 1'!$K$5&gt;2,IF(OR(ISBLANK(M13),M13=""),"",ROUND(SUM(U13:W13),2)),"")</f>
        <v/>
      </c>
      <c r="O13" s="41" t="str">
        <f>IF('Personnel Yr 1'!$K$5&gt;2,IF(OR(ISBLANK(N13),N13=""),"",ROUND(SUM(M13:N13),2)),"")</f>
        <v/>
      </c>
      <c r="P13" s="187"/>
      <c r="Q13" s="335">
        <f>IF('Personnel Yr 1'!$K$5&gt;2,IF(NOT(OR(ISBLANK(J13),J13="")),(I13/12)*J13,""),0)</f>
        <v>0</v>
      </c>
      <c r="R13" s="335">
        <f>IF('Personnel Yr 1'!$K$5&gt;2,IF(NOT(OR(ISBLANK(K13),K13="")),(I13/8.5)*K13,""),0)</f>
        <v>0</v>
      </c>
      <c r="S13" s="335">
        <f>IF('Personnel Yr 1'!$K$5&gt;2,IF(NOT(OR(ISBLANK(L13),L13="")),(I13/8.5)*L13,""),0)</f>
        <v>0</v>
      </c>
      <c r="U13" s="335">
        <f t="shared" si="0"/>
        <v>0</v>
      </c>
      <c r="V13" s="335">
        <f t="shared" si="1"/>
        <v>0</v>
      </c>
      <c r="W13" s="335">
        <f t="shared" si="2"/>
        <v>0</v>
      </c>
      <c r="Y13" s="335">
        <v>13</v>
      </c>
      <c r="Z13" s="335" t="b">
        <f>IF('Personnel Yr 1'!$K$5&gt;2,IF(OR($O$5&lt;&gt;"Federal - NIH",OR(AND(ISBLANK(J13),ISBLANK(K13),ISBLANK(L13)),AND(J13="",K13="",L13=""))),FALSE,IF(J13&gt;0,I13&gt;NIHSalaryCap,I13&gt;(NIHSalaryCap*8.5)/12)),FALSE)</f>
        <v>0</v>
      </c>
    </row>
    <row r="14" spans="1:26" ht="13.5" thickBot="1" x14ac:dyDescent="0.25">
      <c r="A14" s="4">
        <v>8</v>
      </c>
      <c r="B14" s="6" t="str">
        <f>IF('Personnel Yr 1'!$K$5&gt;2,IF(NOT(OR(ISBLANK('Personnel Yr 2'!B14),'Personnel Yr 2'!B14="")),'Personnel Yr 2'!B14,""),"")</f>
        <v/>
      </c>
      <c r="C14" s="22" t="str">
        <f>IF('Personnel Yr 1'!$K$5&gt;2,IF(ISBLANK('Personnel Yr 2'!C14),"",'Personnel Yr 2'!C14),"")</f>
        <v/>
      </c>
      <c r="D14" s="22" t="str">
        <f>IF('Personnel Yr 1'!$K$5&gt;2,IF(ISBLANK('Personnel Yr 2'!D14),"",'Personnel Yr 2'!D14),"")</f>
        <v/>
      </c>
      <c r="E14" s="22" t="str">
        <f>IF('Personnel Yr 1'!$K$5&gt;2,IF(ISBLANK('Personnel Yr 2'!E14),"",'Personnel Yr 2'!E14),"")</f>
        <v/>
      </c>
      <c r="F14" s="22" t="str">
        <f>IF('Personnel Yr 1'!$K$5&gt;2,IF(ISBLANK('Personnel Yr 2'!F14),"",'Personnel Yr 2'!F14),"")</f>
        <v/>
      </c>
      <c r="G14" s="22" t="str">
        <f>IF('Personnel Yr 1'!$K$5&gt;2,IF(ISBLANK('Personnel Yr 2'!G14),"",'Personnel Yr 2'!G14),"")</f>
        <v/>
      </c>
      <c r="H14" s="22" t="str">
        <f>IF('Personnel Yr 1'!$K$5&gt;2,IF(ISBLANK('Personnel Yr 2'!H14),"",'Personnel Yr 2'!H14),"")</f>
        <v/>
      </c>
      <c r="I14" s="33" t="str">
        <f>IF('Personnel Yr 1'!$K$5&gt;2,IF(NOT(OR(ISBLANK('Personnel Yr 2'!I14),'Personnel Yr 2'!I14="")),(('Personnel Yr 2'!I14*'Personnel Yr 1'!$D$5)+'Personnel Yr 2'!I14),""),"")</f>
        <v/>
      </c>
      <c r="J14" s="22" t="str">
        <f>IF('Personnel Yr 1'!$K$5&gt;2,IF(AND(OR(ISBLANK(I14),I14=""),ISBLANK('Personnel Yr 2'!J14)),"",'Personnel Yr 2'!J14),"")</f>
        <v/>
      </c>
      <c r="K14" s="22" t="str">
        <f>IF('Personnel Yr 1'!$K$5&gt;2,IF(AND(OR(ISBLANK(J14),J14=""),ISBLANK('Personnel Yr 2'!K14)),"",'Personnel Yr 2'!K14),"")</f>
        <v/>
      </c>
      <c r="L14" s="22" t="str">
        <f>IF('Personnel Yr 1'!$K$5&gt;2,IF(AND(OR(ISBLANK(K14),K14=""),ISBLANK('Personnel Yr 2'!L14)),"",'Personnel Yr 2'!L14),"")</f>
        <v/>
      </c>
      <c r="M14" s="42" t="str">
        <f>IF('Personnel Yr 1'!$K$5&gt;2,IF(NOT(OR(ISBLANK(I14),I14="")), IF(OR(AND(ISBLANK(J14),ISBLANK(K14),ISBLANK(L14)),AND(J14="",K14="",L14="")),0, IF((AND((J14&gt;0),((K14+L14)&gt;0))),"Error", IF((J14&gt;0),ROUND((IF(AND('Personnel Yr 1'!$P$5&gt;0,I14&gt;'Personnel Yr 1'!$P$5),'Personnel Yr 1'!$P$5,I14)*(J14/12)),2),ROUND((IF(AND('Personnel Yr 1'!$P$5&gt;0,I14&gt;'Personnel Yr 1'!$P$5),'Personnel Yr 1'!$P$5,I14)*((K14+L14)/8.5)),2)))),""),"")</f>
        <v/>
      </c>
      <c r="N14" s="39" t="str">
        <f>IF('Personnel Yr 1'!$K$5&gt;2,IF(OR(ISBLANK(M14),M14=""),"",ROUND(SUM(U14:W14),2)),"")</f>
        <v/>
      </c>
      <c r="O14" s="40" t="str">
        <f>IF('Personnel Yr 1'!$K$5&gt;2,IF(OR(ISBLANK(N14),N14=""),"",ROUND(SUM(M14:N14),2)),"")</f>
        <v/>
      </c>
      <c r="P14" s="189"/>
      <c r="Q14" s="335">
        <f>IF('Personnel Yr 1'!$K$5&gt;2,IF(NOT(OR(ISBLANK(J14),J14="")),(I14/12)*J14,""),0)</f>
        <v>0</v>
      </c>
      <c r="R14" s="335">
        <f>IF('Personnel Yr 1'!$K$5&gt;2,IF(NOT(OR(ISBLANK(K14),K14="")),(I14/8.5)*K14,""),0)</f>
        <v>0</v>
      </c>
      <c r="S14" s="335">
        <f>IF('Personnel Yr 1'!$K$5&gt;2,IF(NOT(OR(ISBLANK(L14),L14="")),(I14/8.5)*L14,""),0)</f>
        <v>0</v>
      </c>
      <c r="U14" s="335">
        <f t="shared" si="0"/>
        <v>0</v>
      </c>
      <c r="V14" s="335">
        <f t="shared" si="1"/>
        <v>0</v>
      </c>
      <c r="W14" s="335">
        <f t="shared" si="2"/>
        <v>0</v>
      </c>
      <c r="Y14" s="335">
        <v>14</v>
      </c>
      <c r="Z14" s="335" t="b">
        <f>IF('Personnel Yr 1'!$K$5&gt;2,IF(OR($O$5&lt;&gt;"Federal - NIH",OR(AND(ISBLANK(J14),ISBLANK(K14),ISBLANK(L14)),AND(J14="",K14="",L14=""))),FALSE,IF(J14&gt;0,I14&gt;NIHSalaryCap,I14&gt;(NIHSalaryCap*8.5)/12)),FALSE)</f>
        <v>0</v>
      </c>
    </row>
    <row r="15" spans="1:26" ht="13.5" thickBot="1" x14ac:dyDescent="0.25">
      <c r="A15" s="4">
        <v>9</v>
      </c>
      <c r="B15" s="20">
        <f>B35</f>
        <v>0</v>
      </c>
      <c r="C15" s="540" t="s">
        <v>49</v>
      </c>
      <c r="D15" s="540"/>
      <c r="E15" s="540"/>
      <c r="F15" s="540"/>
      <c r="G15" s="543" t="s">
        <v>59</v>
      </c>
      <c r="H15" s="513"/>
      <c r="I15" s="543"/>
      <c r="J15" s="543"/>
      <c r="K15" s="543"/>
      <c r="L15" s="543"/>
      <c r="M15" s="543"/>
      <c r="N15" s="544"/>
      <c r="O15" s="45">
        <f>O35</f>
        <v>0</v>
      </c>
      <c r="Q15" s="335">
        <f>SUM(Q7:Q14)</f>
        <v>0</v>
      </c>
      <c r="R15" s="335">
        <f t="shared" ref="R15:W15" si="3">SUM(R7:R14)</f>
        <v>0</v>
      </c>
      <c r="S15" s="335">
        <f t="shared" si="3"/>
        <v>0</v>
      </c>
      <c r="U15" s="335">
        <f t="shared" si="3"/>
        <v>0</v>
      </c>
      <c r="V15" s="335">
        <f t="shared" si="3"/>
        <v>0</v>
      </c>
      <c r="W15" s="335">
        <f t="shared" si="3"/>
        <v>0</v>
      </c>
    </row>
    <row r="16" spans="1:26" ht="13.5" thickBot="1" x14ac:dyDescent="0.25">
      <c r="B16" s="20">
        <f>SUM(ROWS(E7:E14)-COUNTIF(E7:E14,""),B15)</f>
        <v>0</v>
      </c>
      <c r="C16" s="515" t="s">
        <v>48</v>
      </c>
      <c r="D16" s="516"/>
      <c r="E16" s="516"/>
      <c r="F16" s="516"/>
      <c r="I16" s="8"/>
      <c r="J16" s="8"/>
      <c r="K16" s="513" t="s">
        <v>31</v>
      </c>
      <c r="L16" s="513"/>
      <c r="M16" s="513"/>
      <c r="N16" s="514"/>
      <c r="O16" s="38">
        <f>SUM(O7:O15)</f>
        <v>0</v>
      </c>
    </row>
    <row r="17" spans="1:26" x14ac:dyDescent="0.2">
      <c r="I17" s="8"/>
      <c r="J17" s="8"/>
      <c r="K17" s="9"/>
      <c r="L17" s="9"/>
      <c r="M17" s="9"/>
      <c r="N17" s="9"/>
      <c r="O17" s="8"/>
    </row>
    <row r="18" spans="1:26" x14ac:dyDescent="0.2">
      <c r="B18" s="498" t="s">
        <v>232</v>
      </c>
      <c r="C18" s="498"/>
      <c r="D18" s="498"/>
    </row>
    <row r="19" spans="1:26" ht="26.25" thickBot="1" x14ac:dyDescent="0.25">
      <c r="B19" s="2" t="s">
        <v>0</v>
      </c>
      <c r="C19" s="2" t="s">
        <v>1</v>
      </c>
      <c r="D19" s="2" t="s">
        <v>2</v>
      </c>
      <c r="E19" s="2" t="s">
        <v>3</v>
      </c>
      <c r="F19" s="2" t="s">
        <v>4</v>
      </c>
      <c r="G19" s="2" t="s">
        <v>39</v>
      </c>
      <c r="H19" s="2" t="s">
        <v>532</v>
      </c>
      <c r="I19" s="2" t="s">
        <v>40</v>
      </c>
      <c r="J19" s="2" t="s">
        <v>56</v>
      </c>
      <c r="K19" s="2" t="s">
        <v>57</v>
      </c>
      <c r="L19" s="2" t="s">
        <v>58</v>
      </c>
      <c r="M19" s="3" t="s">
        <v>41</v>
      </c>
      <c r="N19" s="2" t="s">
        <v>42</v>
      </c>
      <c r="O19" s="2" t="s">
        <v>38</v>
      </c>
      <c r="P19" s="2" t="s">
        <v>224</v>
      </c>
      <c r="Q19" s="334" t="s">
        <v>62</v>
      </c>
      <c r="R19" s="334" t="s">
        <v>63</v>
      </c>
      <c r="S19" s="334" t="s">
        <v>64</v>
      </c>
      <c r="U19" s="334" t="s">
        <v>62</v>
      </c>
      <c r="V19" s="334" t="s">
        <v>63</v>
      </c>
      <c r="W19" s="334" t="s">
        <v>64</v>
      </c>
      <c r="Z19" s="335" t="s">
        <v>449</v>
      </c>
    </row>
    <row r="20" spans="1:26" x14ac:dyDescent="0.2">
      <c r="A20" s="4">
        <v>1</v>
      </c>
      <c r="B20" s="21" t="str">
        <f>IF('Personnel Yr 1'!$K$5&gt;2,IF(NOT(OR(ISBLANK('Personnel Yr 2'!B20),'Personnel Yr 2'!B20="")),'Personnel Yr 2'!B20,""),"")</f>
        <v/>
      </c>
      <c r="C20" s="13" t="str">
        <f>IF('Personnel Yr 1'!$K$5&gt;2,IF(ISBLANK('Personnel Yr 2'!C20),"",'Personnel Yr 2'!C20),"")</f>
        <v/>
      </c>
      <c r="D20" s="13" t="str">
        <f>IF('Personnel Yr 1'!$K$5&gt;2,IF(ISBLANK('Personnel Yr 2'!D20),"",'Personnel Yr 2'!D20),"")</f>
        <v/>
      </c>
      <c r="E20" s="209" t="str">
        <f>IF('Personnel Yr 1'!$K$5&gt;2,IF(ISBLANK('Personnel Yr 2'!E20),"",'Personnel Yr 2'!E20),"")</f>
        <v/>
      </c>
      <c r="F20" s="13" t="str">
        <f>IF('Personnel Yr 1'!$K$5&gt;2,IF(ISBLANK('Personnel Yr 2'!F20),"",'Personnel Yr 2'!F20),"")</f>
        <v/>
      </c>
      <c r="G20" s="203" t="str">
        <f>IF('Personnel Yr 1'!$K$5&gt;2,IF(ISBLANK('Personnel Yr 2'!G20),"",'Personnel Yr 2'!G20),"")</f>
        <v/>
      </c>
      <c r="H20" s="13" t="str">
        <f>IF('Personnel Yr 1'!$K$5&gt;2,IF(ISBLANK('Personnel Yr 2'!H20),"",'Personnel Yr 2'!H20),"")</f>
        <v/>
      </c>
      <c r="I20" s="204" t="str">
        <f>IF('Personnel Yr 1'!$K$5&gt;2,IF(NOT(OR(ISBLANK('Personnel Yr 2'!I20),'Personnel Yr 2'!I20="")),(('Personnel Yr 2'!I20*'Personnel Yr 1'!$D$5)+'Personnel Yr 2'!I20),""),"")</f>
        <v/>
      </c>
      <c r="J20" s="13" t="str">
        <f>IF('Personnel Yr 1'!$K$5&gt;2,IF(AND(OR(ISBLANK(I20),I20=""),ISBLANK('Personnel Yr 2'!J20)),"",'Personnel Yr 2'!J20),"")</f>
        <v/>
      </c>
      <c r="K20" s="13" t="str">
        <f>IF('Personnel Yr 1'!$K$5&gt;2,IF(AND(OR(ISBLANK(J20),J20=""),ISBLANK('Personnel Yr 2'!K20)),"",'Personnel Yr 2'!K20),"")</f>
        <v/>
      </c>
      <c r="L20" s="13" t="str">
        <f>IF('Personnel Yr 1'!$K$5&gt;2,IF(AND(OR(ISBLANK(K20),K20=""),ISBLANK('Personnel Yr 2'!L20)),"",'Personnel Yr 2'!L20),"")</f>
        <v/>
      </c>
      <c r="M20" s="35" t="str">
        <f>IF('Personnel Yr 1'!$K$5&gt;2,IF(NOT(OR(ISBLANK(I20),I20="")), IF(OR(AND(ISBLANK(J20),ISBLANK(K20),ISBLANK(L20)),AND(J20="",K20="",L20="")),0, IF((AND((J20&gt;0),((K20+L20)&gt;0))),"Error", IF((J20&gt;0),ROUND((IF(AND('Personnel Yr 1'!$P$5&gt;0,I20&gt;'Personnel Yr 1'!$P$5),'Personnel Yr 1'!$P$5,I20)*(J20/12)),2),ROUND((IF(AND('Personnel Yr 1'!$P$5&gt;0,I20&gt;'Personnel Yr 1'!$P$5),'Personnel Yr 1'!$P$5,I20)*((K20+L20)/8.5)),2)))),""),"")</f>
        <v/>
      </c>
      <c r="N20" s="35" t="str">
        <f>IF('Personnel Yr 1'!$K$5&gt;2,IF(OR(ISBLANK(M20),M20=""),"",ROUND(SUM(U20:W20),2)),"")</f>
        <v/>
      </c>
      <c r="O20" s="36" t="str">
        <f>IF('Personnel Yr 1'!$K$5&gt;2,IF(OR(ISBLANK(N20),N20=""),"",ROUND(SUM(M20:N20),2)),"")</f>
        <v/>
      </c>
      <c r="P20" s="12"/>
      <c r="Q20" s="335">
        <f>IF('Personnel Yr 1'!$K$5&gt;2,IF(NOT(OR(ISBLANK(J20),J20="")),(I20/12)*J20,""),0)</f>
        <v>0</v>
      </c>
      <c r="R20" s="336">
        <f>IF('Personnel Yr 1'!$K$5&gt;2,IF(NOT(OR(ISBLANK(K20),K20="")),(I20/8.5)*K20,""),0)</f>
        <v>0</v>
      </c>
      <c r="S20" s="335">
        <f>IF('Personnel Yr 1'!$K$5&gt;2,IF(NOT(OR(ISBLANK(L20),L20="")),(I20/8.5)*L20,""),0)</f>
        <v>0</v>
      </c>
      <c r="U20" s="335">
        <f t="shared" ref="U20:U34" si="4">IF(OR(ISBLANK(Q20),Q20=""),0,Q20*_xlfn.XLOOKUP("*"&amp;H20&amp;"*",BenB,Per,,2))</f>
        <v>0</v>
      </c>
      <c r="V20" s="335">
        <f t="shared" ref="V20:V34" si="5">IF(OR(ISBLANK(R20),R20=""),0,R20*_xlfn.XLOOKUP("*"&amp;H20&amp;"*",BenB,Per,,2))</f>
        <v>0</v>
      </c>
      <c r="W20" s="335">
        <f t="shared" ref="W20:W34" si="6">IF(OR(ISBLANK(S20),S20=""),0,S20*_xlfn.XLOOKUP("Summer",Ben,Per))</f>
        <v>0</v>
      </c>
      <c r="Y20" s="335">
        <v>20</v>
      </c>
      <c r="Z20" s="335" t="b">
        <f>IF('Personnel Yr 1'!$K$5&gt;2,IF(OR($O$5&lt;&gt;"Federal - NIH",OR(AND(ISBLANK(J20),ISBLANK(K20),ISBLANK(L20)),AND(J20="",K20="",L20=""))),FALSE,IF(J20&gt;0,I20&gt;NIHSalaryCap,I20&gt;(NIHSalaryCap*8.5)/12)),FALSE)</f>
        <v>0</v>
      </c>
    </row>
    <row r="21" spans="1:26" x14ac:dyDescent="0.2">
      <c r="A21" s="4">
        <v>2</v>
      </c>
      <c r="B21" s="5" t="str">
        <f>IF('Personnel Yr 1'!$K$5&gt;2,IF(NOT(OR(ISBLANK('Personnel Yr 2'!B21),'Personnel Yr 2'!B21="")),'Personnel Yr 2'!B21,""),"")</f>
        <v/>
      </c>
      <c r="C21" s="17" t="str">
        <f>IF('Personnel Yr 1'!$K$5&gt;2,IF(ISBLANK('Personnel Yr 2'!C21),"",'Personnel Yr 2'!C21),"")</f>
        <v/>
      </c>
      <c r="D21" s="17" t="str">
        <f>IF('Personnel Yr 1'!$K$5&gt;2,IF(ISBLANK('Personnel Yr 2'!D21),"",'Personnel Yr 2'!D21),"")</f>
        <v/>
      </c>
      <c r="E21" s="17" t="str">
        <f>IF('Personnel Yr 1'!$K$5&gt;2,IF(ISBLANK('Personnel Yr 2'!E21),"",'Personnel Yr 2'!E21),"")</f>
        <v/>
      </c>
      <c r="F21" s="17" t="str">
        <f>IF('Personnel Yr 1'!$K$5&gt;2,IF(ISBLANK('Personnel Yr 2'!F21),"",'Personnel Yr 2'!F21),"")</f>
        <v/>
      </c>
      <c r="G21" s="17" t="str">
        <f>IF('Personnel Yr 1'!$K$5&gt;2,IF(ISBLANK('Personnel Yr 2'!G21),"",'Personnel Yr 2'!G21),"")</f>
        <v/>
      </c>
      <c r="H21" s="17" t="str">
        <f>IF('Personnel Yr 1'!$K$5&gt;2,IF(ISBLANK('Personnel Yr 2'!H21),"",'Personnel Yr 2'!H21),"")</f>
        <v/>
      </c>
      <c r="I21" s="32" t="str">
        <f>IF('Personnel Yr 1'!$K$5&gt;2,IF(NOT(OR(ISBLANK('Personnel Yr 2'!I21),'Personnel Yr 2'!I21="")),(('Personnel Yr 2'!I21*'Personnel Yr 1'!$D$5)+'Personnel Yr 2'!I21),""),"")</f>
        <v/>
      </c>
      <c r="J21" s="17" t="str">
        <f>IF('Personnel Yr 1'!$K$5&gt;2,IF(AND(OR(ISBLANK(I21),I21=""),ISBLANK('Personnel Yr 2'!J21)),"",'Personnel Yr 2'!J21),"")</f>
        <v/>
      </c>
      <c r="K21" s="17" t="str">
        <f>IF('Personnel Yr 1'!$K$5&gt;2,IF(AND(OR(ISBLANK(J21),J21=""),ISBLANK('Personnel Yr 2'!K21)),"",'Personnel Yr 2'!K21),"")</f>
        <v/>
      </c>
      <c r="L21" s="17" t="str">
        <f>IF('Personnel Yr 1'!$K$5&gt;2,IF(AND(OR(ISBLANK(K21),K21=""),ISBLANK('Personnel Yr 2'!L21)),"",'Personnel Yr 2'!L21),"")</f>
        <v/>
      </c>
      <c r="M21" s="34" t="str">
        <f>IF('Personnel Yr 1'!$K$5&gt;2,IF(NOT(OR(ISBLANK(I21),I21="")), IF(OR(AND(ISBLANK(J21),ISBLANK(K21),ISBLANK(L21)),AND(J21="",K21="",L21="")),0, IF((AND((J21&gt;0),((K21+L21)&gt;0))),"Error", IF((J21&gt;0),ROUND((IF(AND('Personnel Yr 1'!$P$5&gt;0,I21&gt;'Personnel Yr 1'!$P$5),'Personnel Yr 1'!$P$5,I21)*(J21/12)),2),ROUND((IF(AND('Personnel Yr 1'!$P$5&gt;0,I21&gt;'Personnel Yr 1'!$P$5),'Personnel Yr 1'!$P$5,I21)*((K21+L21)/8.5)),2)))),""),"")</f>
        <v/>
      </c>
      <c r="N21" s="34" t="str">
        <f>IF('Personnel Yr 1'!$K$5&gt;2,IF(OR(ISBLANK(M21),M21=""),"",ROUND(SUM(U21:W21),2)),"")</f>
        <v/>
      </c>
      <c r="O21" s="41" t="str">
        <f>IF('Personnel Yr 1'!$K$5&gt;2,IF(OR(ISBLANK(N21),N21=""),"",ROUND(SUM(M21:N21),2)),"")</f>
        <v/>
      </c>
      <c r="P21" s="187"/>
      <c r="Q21" s="335">
        <f>IF('Personnel Yr 1'!$K$5&gt;2,IF(NOT(OR(ISBLANK(J21),J21="")),(I21/12)*J21,""),0)</f>
        <v>0</v>
      </c>
      <c r="R21" s="336">
        <f>IF('Personnel Yr 1'!$K$5&gt;2,IF(NOT(OR(ISBLANK(K21),K21="")),(I21/8.5)*K21,""),0)</f>
        <v>0</v>
      </c>
      <c r="S21" s="335">
        <f>IF('Personnel Yr 1'!$K$5&gt;2,IF(NOT(OR(ISBLANK(L21),L21="")),(I21/8.5)*L21,""),0)</f>
        <v>0</v>
      </c>
      <c r="U21" s="335">
        <f t="shared" si="4"/>
        <v>0</v>
      </c>
      <c r="V21" s="335">
        <f t="shared" si="5"/>
        <v>0</v>
      </c>
      <c r="W21" s="335">
        <f t="shared" si="6"/>
        <v>0</v>
      </c>
      <c r="Y21" s="335">
        <v>21</v>
      </c>
      <c r="Z21" s="335" t="b">
        <f>IF('Personnel Yr 1'!$K$5&gt;2,IF(OR($O$5&lt;&gt;"Federal - NIH",OR(AND(ISBLANK(J21),ISBLANK(K21),ISBLANK(L21)),AND(J21="",K21="",L21=""))),FALSE,IF(J21&gt;0,I21&gt;NIHSalaryCap,I21&gt;(NIHSalaryCap*8.5)/12)),FALSE)</f>
        <v>0</v>
      </c>
    </row>
    <row r="22" spans="1:26" x14ac:dyDescent="0.2">
      <c r="A22" s="4">
        <v>3</v>
      </c>
      <c r="B22" s="5" t="str">
        <f>IF('Personnel Yr 1'!$K$5&gt;2,IF(NOT(OR(ISBLANK('Personnel Yr 2'!B22),'Personnel Yr 2'!B22="")),'Personnel Yr 2'!B22,""),"")</f>
        <v/>
      </c>
      <c r="C22" s="17" t="str">
        <f>IF('Personnel Yr 1'!$K$5&gt;2,IF(ISBLANK('Personnel Yr 2'!C22),"",'Personnel Yr 2'!C22),"")</f>
        <v/>
      </c>
      <c r="D22" s="17" t="str">
        <f>IF('Personnel Yr 1'!$K$5&gt;2,IF(ISBLANK('Personnel Yr 2'!D22),"",'Personnel Yr 2'!D22),"")</f>
        <v/>
      </c>
      <c r="E22" s="17" t="str">
        <f>IF('Personnel Yr 1'!$K$5&gt;2,IF(ISBLANK('Personnel Yr 2'!E22),"",'Personnel Yr 2'!E22),"")</f>
        <v/>
      </c>
      <c r="F22" s="17" t="str">
        <f>IF('Personnel Yr 1'!$K$5&gt;2,IF(ISBLANK('Personnel Yr 2'!F22),"",'Personnel Yr 2'!F22),"")</f>
        <v/>
      </c>
      <c r="G22" s="55" t="str">
        <f>IF('Personnel Yr 1'!$K$5&gt;2,IF(ISBLANK('Personnel Yr 2'!G22),"",'Personnel Yr 2'!G22),"")</f>
        <v/>
      </c>
      <c r="H22" s="17" t="str">
        <f>IF('Personnel Yr 1'!$K$5&gt;2,IF(ISBLANK('Personnel Yr 2'!H22),"",'Personnel Yr 2'!H22),"")</f>
        <v/>
      </c>
      <c r="I22" s="32" t="str">
        <f>IF('Personnel Yr 1'!$K$5&gt;2,IF(NOT(OR(ISBLANK('Personnel Yr 2'!I22),'Personnel Yr 2'!I22="")),(('Personnel Yr 2'!I22*'Personnel Yr 1'!$D$5)+'Personnel Yr 2'!I22),""),"")</f>
        <v/>
      </c>
      <c r="J22" s="17" t="str">
        <f>IF('Personnel Yr 1'!$K$5&gt;2,IF(AND(OR(ISBLANK(I22),I22=""),ISBLANK('Personnel Yr 2'!J22)),"",'Personnel Yr 2'!J22),"")</f>
        <v/>
      </c>
      <c r="K22" s="17" t="str">
        <f>IF('Personnel Yr 1'!$K$5&gt;2,IF(AND(OR(ISBLANK(J22),J22=""),ISBLANK('Personnel Yr 2'!K22)),"",'Personnel Yr 2'!K22),"")</f>
        <v/>
      </c>
      <c r="L22" s="17" t="str">
        <f>IF('Personnel Yr 1'!$K$5&gt;2,IF(AND(OR(ISBLANK(K22),K22=""),ISBLANK('Personnel Yr 2'!L22)),"",'Personnel Yr 2'!L22),"")</f>
        <v/>
      </c>
      <c r="M22" s="34" t="str">
        <f>IF('Personnel Yr 1'!$K$5&gt;2,IF(NOT(OR(ISBLANK(I22),I22="")), IF(OR(AND(ISBLANK(J22),ISBLANK(K22),ISBLANK(L22)),AND(J22="",K22="",L22="")),0, IF((AND((J22&gt;0),((K22+L22)&gt;0))),"Error", IF((J22&gt;0),ROUND((IF(AND('Personnel Yr 1'!$P$5&gt;0,I22&gt;'Personnel Yr 1'!$P$5),'Personnel Yr 1'!$P$5,I22)*(J22/12)),2),ROUND((IF(AND('Personnel Yr 1'!$P$5&gt;0,I22&gt;'Personnel Yr 1'!$P$5),'Personnel Yr 1'!$P$5,I22)*((K22+L22)/8.5)),2)))),""),"")</f>
        <v/>
      </c>
      <c r="N22" s="34" t="str">
        <f>IF('Personnel Yr 1'!$K$5&gt;2,IF(OR(ISBLANK(M22),M22=""),"",ROUND(SUM(U22:W22),2)),"")</f>
        <v/>
      </c>
      <c r="O22" s="41" t="str">
        <f>IF('Personnel Yr 1'!$K$5&gt;2,IF(OR(ISBLANK(N22),N22=""),"",ROUND(SUM(M22:N22),2)),"")</f>
        <v/>
      </c>
      <c r="P22" s="188"/>
      <c r="Q22" s="335">
        <f>IF('Personnel Yr 1'!$K$5&gt;2,IF(NOT(OR(ISBLANK(J22),J22="")),(I22/12)*J22,""),0)</f>
        <v>0</v>
      </c>
      <c r="R22" s="336">
        <f>IF('Personnel Yr 1'!$K$5&gt;2,IF(NOT(OR(ISBLANK(K22),K22="")),(I22/8.5)*K22,""),0)</f>
        <v>0</v>
      </c>
      <c r="S22" s="335">
        <f>IF('Personnel Yr 1'!$K$5&gt;2,IF(NOT(OR(ISBLANK(L22),L22="")),(I22/8.5)*L22,""),0)</f>
        <v>0</v>
      </c>
      <c r="U22" s="335">
        <f t="shared" si="4"/>
        <v>0</v>
      </c>
      <c r="V22" s="335">
        <f t="shared" si="5"/>
        <v>0</v>
      </c>
      <c r="W22" s="335">
        <f t="shared" si="6"/>
        <v>0</v>
      </c>
      <c r="Y22" s="335">
        <v>22</v>
      </c>
      <c r="Z22" s="335" t="b">
        <f>IF('Personnel Yr 1'!$K$5&gt;2,IF(OR($O$5&lt;&gt;"Federal - NIH",OR(AND(ISBLANK(J22),ISBLANK(K22),ISBLANK(L22)),AND(J22="",K22="",L22=""))),FALSE,IF(J22&gt;0,I22&gt;NIHSalaryCap,I22&gt;(NIHSalaryCap*8.5)/12)),FALSE)</f>
        <v>0</v>
      </c>
    </row>
    <row r="23" spans="1:26" x14ac:dyDescent="0.2">
      <c r="A23" s="4">
        <v>4</v>
      </c>
      <c r="B23" s="5" t="str">
        <f>IF('Personnel Yr 1'!$K$5&gt;2,IF(NOT(OR(ISBLANK('Personnel Yr 2'!B23),'Personnel Yr 2'!B23="")),'Personnel Yr 2'!B23,""),"")</f>
        <v/>
      </c>
      <c r="C23" s="17" t="str">
        <f>IF('Personnel Yr 1'!$K$5&gt;2,IF(ISBLANK('Personnel Yr 2'!C23),"",'Personnel Yr 2'!C23),"")</f>
        <v/>
      </c>
      <c r="D23" s="17" t="str">
        <f>IF('Personnel Yr 1'!$K$5&gt;2,IF(ISBLANK('Personnel Yr 2'!D23),"",'Personnel Yr 2'!D23),"")</f>
        <v/>
      </c>
      <c r="E23" s="17" t="str">
        <f>IF('Personnel Yr 1'!$K$5&gt;2,IF(ISBLANK('Personnel Yr 2'!E23),"",'Personnel Yr 2'!E23),"")</f>
        <v/>
      </c>
      <c r="F23" s="17" t="str">
        <f>IF('Personnel Yr 1'!$K$5&gt;2,IF(ISBLANK('Personnel Yr 2'!F23),"",'Personnel Yr 2'!F23),"")</f>
        <v/>
      </c>
      <c r="G23" s="56" t="str">
        <f>IF('Personnel Yr 1'!$K$5&gt;2,IF(ISBLANK('Personnel Yr 2'!G23),"",'Personnel Yr 2'!G23),"")</f>
        <v/>
      </c>
      <c r="H23" s="17" t="str">
        <f>IF('Personnel Yr 1'!$K$5&gt;2,IF(ISBLANK('Personnel Yr 2'!H23),"",'Personnel Yr 2'!H23),"")</f>
        <v/>
      </c>
      <c r="I23" s="32" t="str">
        <f>IF('Personnel Yr 1'!$K$5&gt;2,IF(NOT(OR(ISBLANK('Personnel Yr 2'!I23),'Personnel Yr 2'!I23="")),(('Personnel Yr 2'!I23*'Personnel Yr 1'!$D$5)+'Personnel Yr 2'!I23),""),"")</f>
        <v/>
      </c>
      <c r="J23" s="17" t="str">
        <f>IF('Personnel Yr 1'!$K$5&gt;2,IF(AND(OR(ISBLANK(I23),I23=""),ISBLANK('Personnel Yr 2'!J23)),"",'Personnel Yr 2'!J23),"")</f>
        <v/>
      </c>
      <c r="K23" s="17" t="str">
        <f>IF('Personnel Yr 1'!$K$5&gt;2,IF(AND(OR(ISBLANK(J23),J23=""),ISBLANK('Personnel Yr 2'!K23)),"",'Personnel Yr 2'!K23),"")</f>
        <v/>
      </c>
      <c r="L23" s="17" t="str">
        <f>IF('Personnel Yr 1'!$K$5&gt;2,IF(AND(OR(ISBLANK(K23),K23=""),ISBLANK('Personnel Yr 2'!L23)),"",'Personnel Yr 2'!L23),"")</f>
        <v/>
      </c>
      <c r="M23" s="34" t="str">
        <f>IF('Personnel Yr 1'!$K$5&gt;2,IF(NOT(OR(ISBLANK(I23),I23="")), IF(OR(AND(ISBLANK(J23),ISBLANK(K23),ISBLANK(L23)),AND(J23="",K23="",L23="")),0, IF((AND((J23&gt;0),((K23+L23)&gt;0))),"Error", IF((J23&gt;0),ROUND((IF(AND('Personnel Yr 1'!$P$5&gt;0,I23&gt;'Personnel Yr 1'!$P$5),'Personnel Yr 1'!$P$5,I23)*(J23/12)),2),ROUND((IF(AND('Personnel Yr 1'!$P$5&gt;0,I23&gt;'Personnel Yr 1'!$P$5),'Personnel Yr 1'!$P$5,I23)*((K23+L23)/8.5)),2)))),""),"")</f>
        <v/>
      </c>
      <c r="N23" s="34" t="str">
        <f>IF('Personnel Yr 1'!$K$5&gt;2,IF(OR(ISBLANK(M23),M23=""),"",ROUND(SUM(U23:W23),2)),"")</f>
        <v/>
      </c>
      <c r="O23" s="41" t="str">
        <f>IF('Personnel Yr 1'!$K$5&gt;2,IF(OR(ISBLANK(N23),N23=""),"",ROUND(SUM(M23:N23),2)),"")</f>
        <v/>
      </c>
      <c r="P23" s="15"/>
      <c r="Q23" s="335">
        <f>IF('Personnel Yr 1'!$K$5&gt;2,IF(NOT(OR(ISBLANK(J23),J23="")),(I23/12)*J23,""),0)</f>
        <v>0</v>
      </c>
      <c r="R23" s="336">
        <f>IF('Personnel Yr 1'!$K$5&gt;2,IF(NOT(OR(ISBLANK(K23),K23="")),(I23/8.5)*K23,""),0)</f>
        <v>0</v>
      </c>
      <c r="S23" s="335">
        <f>IF('Personnel Yr 1'!$K$5&gt;2,IF(NOT(OR(ISBLANK(L23),L23="")),(I23/8.5)*L23,""),0)</f>
        <v>0</v>
      </c>
      <c r="U23" s="335">
        <f t="shared" si="4"/>
        <v>0</v>
      </c>
      <c r="V23" s="335">
        <f t="shared" si="5"/>
        <v>0</v>
      </c>
      <c r="W23" s="335">
        <f t="shared" si="6"/>
        <v>0</v>
      </c>
      <c r="Y23" s="335">
        <v>23</v>
      </c>
      <c r="Z23" s="335" t="b">
        <f>IF('Personnel Yr 1'!$K$5&gt;2,IF(OR($O$5&lt;&gt;"Federal - NIH",OR(AND(ISBLANK(J23),ISBLANK(K23),ISBLANK(L23)),AND(J23="",K23="",L23=""))),FALSE,IF(J23&gt;0,I23&gt;NIHSalaryCap,I23&gt;(NIHSalaryCap*8.5)/12)),FALSE)</f>
        <v>0</v>
      </c>
    </row>
    <row r="24" spans="1:26" x14ac:dyDescent="0.2">
      <c r="A24" s="4">
        <v>5</v>
      </c>
      <c r="B24" s="5" t="str">
        <f>IF('Personnel Yr 1'!$K$5&gt;2,IF(NOT(OR(ISBLANK('Personnel Yr 2'!B24),'Personnel Yr 2'!B24="")),'Personnel Yr 2'!B24,""),"")</f>
        <v/>
      </c>
      <c r="C24" s="17" t="str">
        <f>IF('Personnel Yr 1'!$K$5&gt;2,IF(ISBLANK('Personnel Yr 2'!C24),"",'Personnel Yr 2'!C24),"")</f>
        <v/>
      </c>
      <c r="D24" s="17" t="str">
        <f>IF('Personnel Yr 1'!$K$5&gt;2,IF(ISBLANK('Personnel Yr 2'!D24),"",'Personnel Yr 2'!D24),"")</f>
        <v/>
      </c>
      <c r="E24" s="17" t="str">
        <f>IF('Personnel Yr 1'!$K$5&gt;2,IF(ISBLANK('Personnel Yr 2'!E24),"",'Personnel Yr 2'!E24),"")</f>
        <v/>
      </c>
      <c r="F24" s="17" t="str">
        <f>IF('Personnel Yr 1'!$K$5&gt;2,IF(ISBLANK('Personnel Yr 2'!F24),"",'Personnel Yr 2'!F24),"")</f>
        <v/>
      </c>
      <c r="G24" s="17" t="str">
        <f>IF('Personnel Yr 1'!$K$5&gt;2,IF(ISBLANK('Personnel Yr 2'!G24),"",'Personnel Yr 2'!G24),"")</f>
        <v/>
      </c>
      <c r="H24" s="17" t="str">
        <f>IF('Personnel Yr 1'!$K$5&gt;2,IF(ISBLANK('Personnel Yr 2'!H24),"",'Personnel Yr 2'!H24),"")</f>
        <v/>
      </c>
      <c r="I24" s="32" t="str">
        <f>IF('Personnel Yr 1'!$K$5&gt;2,IF(NOT(OR(ISBLANK('Personnel Yr 2'!I24),'Personnel Yr 2'!I24="")),(('Personnel Yr 2'!I24*'Personnel Yr 1'!$D$5)+'Personnel Yr 2'!I24),""),"")</f>
        <v/>
      </c>
      <c r="J24" s="17" t="str">
        <f>IF('Personnel Yr 1'!$K$5&gt;2,IF(AND(OR(ISBLANK(I24),I24=""),ISBLANK('Personnel Yr 2'!J24)),"",'Personnel Yr 2'!J24),"")</f>
        <v/>
      </c>
      <c r="K24" s="17" t="str">
        <f>IF('Personnel Yr 1'!$K$5&gt;2,IF(AND(OR(ISBLANK(J24),J24=""),ISBLANK('Personnel Yr 2'!K24)),"",'Personnel Yr 2'!K24),"")</f>
        <v/>
      </c>
      <c r="L24" s="17" t="str">
        <f>IF('Personnel Yr 1'!$K$5&gt;2,IF(AND(OR(ISBLANK(K24),K24=""),ISBLANK('Personnel Yr 2'!L24)),"",'Personnel Yr 2'!L24),"")</f>
        <v/>
      </c>
      <c r="M24" s="34" t="str">
        <f>IF('Personnel Yr 1'!$K$5&gt;2,IF(NOT(OR(ISBLANK(I24),I24="")), IF(OR(AND(ISBLANK(J24),ISBLANK(K24),ISBLANK(L24)),AND(J24="",K24="",L24="")),0, IF((AND((J24&gt;0),((K24+L24)&gt;0))),"Error", IF((J24&gt;0),ROUND((IF(AND('Personnel Yr 1'!$P$5&gt;0,I24&gt;'Personnel Yr 1'!$P$5),'Personnel Yr 1'!$P$5,I24)*(J24/12)),2),ROUND((IF(AND('Personnel Yr 1'!$P$5&gt;0,I24&gt;'Personnel Yr 1'!$P$5),'Personnel Yr 1'!$P$5,I24)*((K24+L24)/8.5)),2)))),""),"")</f>
        <v/>
      </c>
      <c r="N24" s="34" t="str">
        <f>IF('Personnel Yr 1'!$K$5&gt;2,IF(OR(ISBLANK(M24),M24=""),"",ROUND(SUM(U24:W24),2)),"")</f>
        <v/>
      </c>
      <c r="O24" s="41" t="str">
        <f>IF('Personnel Yr 1'!$K$5&gt;2,IF(OR(ISBLANK(N24),N24=""),"",ROUND(SUM(M24:N24),2)),"")</f>
        <v/>
      </c>
      <c r="P24" s="15"/>
      <c r="Q24" s="335">
        <f>IF('Personnel Yr 1'!$K$5&gt;2,IF(NOT(OR(ISBLANK(J24),J24="")),(I24/12)*J24,""),0)</f>
        <v>0</v>
      </c>
      <c r="R24" s="336">
        <f>IF('Personnel Yr 1'!$K$5&gt;2,IF(NOT(OR(ISBLANK(K24),K24="")),(I24/8.5)*K24,""),0)</f>
        <v>0</v>
      </c>
      <c r="S24" s="335">
        <f>IF('Personnel Yr 1'!$K$5&gt;2,IF(NOT(OR(ISBLANK(L24),L24="")),(I24/8.5)*L24,""),0)</f>
        <v>0</v>
      </c>
      <c r="U24" s="335">
        <f t="shared" si="4"/>
        <v>0</v>
      </c>
      <c r="V24" s="335">
        <f t="shared" si="5"/>
        <v>0</v>
      </c>
      <c r="W24" s="335">
        <f t="shared" si="6"/>
        <v>0</v>
      </c>
      <c r="Y24" s="335">
        <v>24</v>
      </c>
      <c r="Z24" s="335" t="b">
        <f>IF('Personnel Yr 1'!$K$5&gt;2,IF(OR($O$5&lt;&gt;"Federal - NIH",OR(AND(ISBLANK(J24),ISBLANK(K24),ISBLANK(L24)),AND(J24="",K24="",L24=""))),FALSE,IF(J24&gt;0,I24&gt;NIHSalaryCap,I24&gt;(NIHSalaryCap*8.5)/12)),FALSE)</f>
        <v>0</v>
      </c>
    </row>
    <row r="25" spans="1:26" x14ac:dyDescent="0.2">
      <c r="A25" s="4">
        <v>6</v>
      </c>
      <c r="B25" s="5" t="str">
        <f>IF('Personnel Yr 1'!$K$5&gt;2,IF(NOT(OR(ISBLANK('Personnel Yr 2'!B25),'Personnel Yr 2'!B25="")),'Personnel Yr 2'!B25,""),"")</f>
        <v/>
      </c>
      <c r="C25" s="17" t="str">
        <f>IF('Personnel Yr 1'!$K$5&gt;2,IF(ISBLANK('Personnel Yr 2'!C25),"",'Personnel Yr 2'!C25),"")</f>
        <v/>
      </c>
      <c r="D25" s="17" t="str">
        <f>IF('Personnel Yr 1'!$K$5&gt;2,IF(ISBLANK('Personnel Yr 2'!D25),"",'Personnel Yr 2'!D25),"")</f>
        <v/>
      </c>
      <c r="E25" s="17" t="str">
        <f>IF('Personnel Yr 1'!$K$5&gt;2,IF(ISBLANK('Personnel Yr 2'!E25),"",'Personnel Yr 2'!E25),"")</f>
        <v/>
      </c>
      <c r="F25" s="17" t="str">
        <f>IF('Personnel Yr 1'!$K$5&gt;2,IF(ISBLANK('Personnel Yr 2'!F25),"",'Personnel Yr 2'!F25),"")</f>
        <v/>
      </c>
      <c r="G25" s="17" t="str">
        <f>IF('Personnel Yr 1'!$K$5&gt;2,IF(ISBLANK('Personnel Yr 2'!G25),"",'Personnel Yr 2'!G25),"")</f>
        <v/>
      </c>
      <c r="H25" s="17" t="str">
        <f>IF('Personnel Yr 1'!$K$5&gt;2,IF(ISBLANK('Personnel Yr 2'!H25),"",'Personnel Yr 2'!H25),"")</f>
        <v/>
      </c>
      <c r="I25" s="32" t="str">
        <f>IF('Personnel Yr 1'!$K$5&gt;2,IF(NOT(OR(ISBLANK('Personnel Yr 2'!I25),'Personnel Yr 2'!I25="")),(('Personnel Yr 2'!I25*'Personnel Yr 1'!$D$5)+'Personnel Yr 2'!I25),""),"")</f>
        <v/>
      </c>
      <c r="J25" s="17" t="str">
        <f>IF('Personnel Yr 1'!$K$5&gt;2,IF(AND(OR(ISBLANK(I25),I25=""),ISBLANK('Personnel Yr 2'!J25)),"",'Personnel Yr 2'!J25),"")</f>
        <v/>
      </c>
      <c r="K25" s="17" t="str">
        <f>IF('Personnel Yr 1'!$K$5&gt;2,IF(AND(OR(ISBLANK(J25),J25=""),ISBLANK('Personnel Yr 2'!K25)),"",'Personnel Yr 2'!K25),"")</f>
        <v/>
      </c>
      <c r="L25" s="17" t="str">
        <f>IF('Personnel Yr 1'!$K$5&gt;2,IF(AND(OR(ISBLANK(K25),K25=""),ISBLANK('Personnel Yr 2'!L25)),"",'Personnel Yr 2'!L25),"")</f>
        <v/>
      </c>
      <c r="M25" s="34" t="str">
        <f>IF('Personnel Yr 1'!$K$5&gt;2,IF(NOT(OR(ISBLANK(I25),I25="")), IF(OR(AND(ISBLANK(J25),ISBLANK(K25),ISBLANK(L25)),AND(J25="",K25="",L25="")),0, IF((AND((J25&gt;0),((K25+L25)&gt;0))),"Error", IF((J25&gt;0),ROUND((IF(AND('Personnel Yr 1'!$P$5&gt;0,I25&gt;'Personnel Yr 1'!$P$5),'Personnel Yr 1'!$P$5,I25)*(J25/12)),2),ROUND((IF(AND('Personnel Yr 1'!$P$5&gt;0,I25&gt;'Personnel Yr 1'!$P$5),'Personnel Yr 1'!$P$5,I25)*((K25+L25)/8.5)),2)))),""),"")</f>
        <v/>
      </c>
      <c r="N25" s="34" t="str">
        <f>IF('Personnel Yr 1'!$K$5&gt;2,IF(OR(ISBLANK(M25),M25=""),"",ROUND(SUM(U25:W25),2)),"")</f>
        <v/>
      </c>
      <c r="O25" s="41" t="str">
        <f>IF('Personnel Yr 1'!$K$5&gt;2,IF(OR(ISBLANK(N25),N25=""),"",ROUND(SUM(M25:N25),2)),"")</f>
        <v/>
      </c>
      <c r="P25" s="187"/>
      <c r="Q25" s="335">
        <f>IF('Personnel Yr 1'!$K$5&gt;2,IF(NOT(OR(ISBLANK(J25),J25="")),(I25/12)*J25,""),0)</f>
        <v>0</v>
      </c>
      <c r="R25" s="336">
        <f>IF('Personnel Yr 1'!$K$5&gt;2,IF(NOT(OR(ISBLANK(K25),K25="")),(I25/8.5)*K25,""),0)</f>
        <v>0</v>
      </c>
      <c r="S25" s="335">
        <f>IF('Personnel Yr 1'!$K$5&gt;2,IF(NOT(OR(ISBLANK(L25),L25="")),(I25/8.5)*L25,""),0)</f>
        <v>0</v>
      </c>
      <c r="U25" s="335">
        <f t="shared" si="4"/>
        <v>0</v>
      </c>
      <c r="V25" s="335">
        <f t="shared" si="5"/>
        <v>0</v>
      </c>
      <c r="W25" s="335">
        <f t="shared" si="6"/>
        <v>0</v>
      </c>
      <c r="Y25" s="335">
        <v>25</v>
      </c>
      <c r="Z25" s="335" t="b">
        <f>IF('Personnel Yr 1'!$K$5&gt;2,IF(OR($O$5&lt;&gt;"Federal - NIH",OR(AND(ISBLANK(J25),ISBLANK(K25),ISBLANK(L25)),AND(J25="",K25="",L25=""))),FALSE,IF(J25&gt;0,I25&gt;NIHSalaryCap,I25&gt;(NIHSalaryCap*8.5)/12)),FALSE)</f>
        <v>0</v>
      </c>
    </row>
    <row r="26" spans="1:26" x14ac:dyDescent="0.2">
      <c r="A26" s="4">
        <v>7</v>
      </c>
      <c r="B26" s="5" t="str">
        <f>IF('Personnel Yr 1'!$K$5&gt;2,IF(NOT(OR(ISBLANK('Personnel Yr 2'!B26),'Personnel Yr 2'!B26="")),'Personnel Yr 2'!B26,""),"")</f>
        <v/>
      </c>
      <c r="C26" s="17" t="str">
        <f>IF('Personnel Yr 1'!$K$5&gt;2,IF(ISBLANK('Personnel Yr 2'!C26),"",'Personnel Yr 2'!C26),"")</f>
        <v/>
      </c>
      <c r="D26" s="17" t="str">
        <f>IF('Personnel Yr 1'!$K$5&gt;2,IF(ISBLANK('Personnel Yr 2'!D26),"",'Personnel Yr 2'!D26),"")</f>
        <v/>
      </c>
      <c r="E26" s="17" t="str">
        <f>IF('Personnel Yr 1'!$K$5&gt;2,IF(ISBLANK('Personnel Yr 2'!E26),"",'Personnel Yr 2'!E26),"")</f>
        <v/>
      </c>
      <c r="F26" s="17" t="str">
        <f>IF('Personnel Yr 1'!$K$5&gt;2,IF(ISBLANK('Personnel Yr 2'!F26),"",'Personnel Yr 2'!F26),"")</f>
        <v/>
      </c>
      <c r="G26" s="17" t="str">
        <f>IF('Personnel Yr 1'!$K$5&gt;2,IF(ISBLANK('Personnel Yr 2'!G26),"",'Personnel Yr 2'!G26),"")</f>
        <v/>
      </c>
      <c r="H26" s="17" t="str">
        <f>IF('Personnel Yr 1'!$K$5&gt;2,IF(ISBLANK('Personnel Yr 2'!H26),"",'Personnel Yr 2'!H26),"")</f>
        <v/>
      </c>
      <c r="I26" s="32" t="str">
        <f>IF('Personnel Yr 1'!$K$5&gt;2,IF(NOT(OR(ISBLANK('Personnel Yr 2'!I26),'Personnel Yr 2'!I26="")),(('Personnel Yr 2'!I26*'Personnel Yr 1'!$D$5)+'Personnel Yr 2'!I26),""),"")</f>
        <v/>
      </c>
      <c r="J26" s="17" t="str">
        <f>IF('Personnel Yr 1'!$K$5&gt;2,IF(AND(OR(ISBLANK(I26),I26=""),ISBLANK('Personnel Yr 2'!J26)),"",'Personnel Yr 2'!J26),"")</f>
        <v/>
      </c>
      <c r="K26" s="17" t="str">
        <f>IF('Personnel Yr 1'!$K$5&gt;2,IF(AND(OR(ISBLANK(J26),J26=""),ISBLANK('Personnel Yr 2'!K26)),"",'Personnel Yr 2'!K26),"")</f>
        <v/>
      </c>
      <c r="L26" s="17" t="str">
        <f>IF('Personnel Yr 1'!$K$5&gt;2,IF(AND(OR(ISBLANK(K26),K26=""),ISBLANK('Personnel Yr 2'!L26)),"",'Personnel Yr 2'!L26),"")</f>
        <v/>
      </c>
      <c r="M26" s="34" t="str">
        <f>IF('Personnel Yr 1'!$K$5&gt;2,IF(NOT(OR(ISBLANK(I26),I26="")), IF(OR(AND(ISBLANK(J26),ISBLANK(K26),ISBLANK(L26)),AND(J26="",K26="",L26="")),0, IF((AND((J26&gt;0),((K26+L26)&gt;0))),"Error", IF((J26&gt;0),ROUND((IF(AND('Personnel Yr 1'!$P$5&gt;0,I26&gt;'Personnel Yr 1'!$P$5),'Personnel Yr 1'!$P$5,I26)*(J26/12)),2),ROUND((IF(AND('Personnel Yr 1'!$P$5&gt;0,I26&gt;'Personnel Yr 1'!$P$5),'Personnel Yr 1'!$P$5,I26)*((K26+L26)/8.5)),2)))),""),"")</f>
        <v/>
      </c>
      <c r="N26" s="34" t="str">
        <f>IF('Personnel Yr 1'!$K$5&gt;2,IF(OR(ISBLANK(M26),M26=""),"",ROUND(SUM(U26:W26),2)),"")</f>
        <v/>
      </c>
      <c r="O26" s="41" t="str">
        <f>IF('Personnel Yr 1'!$K$5&gt;2,IF(OR(ISBLANK(N26),N26=""),"",ROUND(SUM(M26:N26),2)),"")</f>
        <v/>
      </c>
      <c r="P26" s="15"/>
      <c r="Q26" s="335">
        <f>IF('Personnel Yr 1'!$K$5&gt;2,IF(NOT(OR(ISBLANK(J26),J26="")),(I26/12)*J26,""),0)</f>
        <v>0</v>
      </c>
      <c r="R26" s="336">
        <f>IF('Personnel Yr 1'!$K$5&gt;2,IF(NOT(OR(ISBLANK(K26),K26="")),(I26/8.5)*K26,""),0)</f>
        <v>0</v>
      </c>
      <c r="S26" s="335">
        <f>IF('Personnel Yr 1'!$K$5&gt;2,IF(NOT(OR(ISBLANK(L26),L26="")),(I26/8.5)*L26,""),0)</f>
        <v>0</v>
      </c>
      <c r="U26" s="335">
        <f t="shared" si="4"/>
        <v>0</v>
      </c>
      <c r="V26" s="335">
        <f t="shared" si="5"/>
        <v>0</v>
      </c>
      <c r="W26" s="335">
        <f t="shared" si="6"/>
        <v>0</v>
      </c>
      <c r="Y26" s="335">
        <v>26</v>
      </c>
      <c r="Z26" s="335" t="b">
        <f>IF('Personnel Yr 1'!$K$5&gt;2,IF(OR($O$5&lt;&gt;"Federal - NIH",OR(AND(ISBLANK(J26),ISBLANK(K26),ISBLANK(L26)),AND(J26="",K26="",L26=""))),FALSE,IF(J26&gt;0,I26&gt;NIHSalaryCap,I26&gt;(NIHSalaryCap*8.5)/12)),FALSE)</f>
        <v>0</v>
      </c>
    </row>
    <row r="27" spans="1:26" x14ac:dyDescent="0.2">
      <c r="A27" s="4">
        <v>8</v>
      </c>
      <c r="B27" s="57" t="str">
        <f>IF('Personnel Yr 1'!$K$5&gt;2,IF(NOT(OR(ISBLANK('Personnel Yr 2'!B27),'Personnel Yr 2'!B27="")),'Personnel Yr 2'!B27,""),"")</f>
        <v/>
      </c>
      <c r="C27" s="54" t="str">
        <f>IF('Personnel Yr 1'!$K$5&gt;2,IF(ISBLANK('Personnel Yr 2'!C27),"",'Personnel Yr 2'!C27),"")</f>
        <v/>
      </c>
      <c r="D27" s="54" t="str">
        <f>IF('Personnel Yr 1'!$K$5&gt;2,IF(ISBLANK('Personnel Yr 2'!D27),"",'Personnel Yr 2'!D27),"")</f>
        <v/>
      </c>
      <c r="E27" s="54" t="str">
        <f>IF('Personnel Yr 1'!$K$5&gt;2,IF(ISBLANK('Personnel Yr 2'!E27),"",'Personnel Yr 2'!E27),"")</f>
        <v/>
      </c>
      <c r="F27" s="54" t="str">
        <f>IF('Personnel Yr 1'!$K$5&gt;2,IF(ISBLANK('Personnel Yr 2'!F27),"",'Personnel Yr 2'!F27),"")</f>
        <v/>
      </c>
      <c r="G27" s="54" t="str">
        <f>IF('Personnel Yr 1'!$K$5&gt;2,IF(ISBLANK('Personnel Yr 2'!G27),"",'Personnel Yr 2'!G27),"")</f>
        <v/>
      </c>
      <c r="H27" s="17" t="str">
        <f>IF('Personnel Yr 1'!$K$5&gt;2,IF(ISBLANK('Personnel Yr 2'!H27),"",'Personnel Yr 2'!H27),"")</f>
        <v/>
      </c>
      <c r="I27" s="32" t="str">
        <f>IF('Personnel Yr 1'!$K$5&gt;2,IF(NOT(OR(ISBLANK('Personnel Yr 2'!I27),'Personnel Yr 2'!I27="")),(('Personnel Yr 2'!I27*'Personnel Yr 1'!$D$5)+'Personnel Yr 2'!I27),""),"")</f>
        <v/>
      </c>
      <c r="J27" s="17" t="str">
        <f>IF('Personnel Yr 1'!$K$5&gt;2,IF(AND(OR(ISBLANK(I27),I27=""),ISBLANK('Personnel Yr 2'!J27)),"",'Personnel Yr 2'!J27),"")</f>
        <v/>
      </c>
      <c r="K27" s="17" t="str">
        <f>IF('Personnel Yr 1'!$K$5&gt;2,IF(AND(OR(ISBLANK(J27),J27=""),ISBLANK('Personnel Yr 2'!K27)),"",'Personnel Yr 2'!K27),"")</f>
        <v/>
      </c>
      <c r="L27" s="17" t="str">
        <f>IF('Personnel Yr 1'!$K$5&gt;2,IF(AND(OR(ISBLANK(K27),K27=""),ISBLANK('Personnel Yr 2'!L27)),"",'Personnel Yr 2'!L27),"")</f>
        <v/>
      </c>
      <c r="M27" s="34" t="str">
        <f>IF('Personnel Yr 1'!$K$5&gt;2,IF(NOT(OR(ISBLANK(I27),I27="")), IF(OR(AND(ISBLANK(J27),ISBLANK(K27),ISBLANK(L27)),AND(J27="",K27="",L27="")),0, IF((AND((J27&gt;0),((K27+L27)&gt;0))),"Error", IF((J27&gt;0),ROUND((IF(AND('Personnel Yr 1'!$P$5&gt;0,I27&gt;'Personnel Yr 1'!$P$5),'Personnel Yr 1'!$P$5,I27)*(J27/12)),2),ROUND((IF(AND('Personnel Yr 1'!$P$5&gt;0,I27&gt;'Personnel Yr 1'!$P$5),'Personnel Yr 1'!$P$5,I27)*((K27+L27)/8.5)),2)))),""),"")</f>
        <v/>
      </c>
      <c r="N27" s="39" t="str">
        <f>IF('Personnel Yr 1'!$K$5&gt;2,IF(OR(ISBLANK(M27),M27=""),"",ROUND(SUM(U27:W27),2)),"")</f>
        <v/>
      </c>
      <c r="O27" s="40" t="str">
        <f>IF('Personnel Yr 1'!$K$5&gt;2,IF(OR(ISBLANK(N27),N27=""),"",ROUND(SUM(M27:N27),2)),"")</f>
        <v/>
      </c>
      <c r="P27" s="14"/>
      <c r="Q27" s="335">
        <f>IF('Personnel Yr 1'!$K$5&gt;2,IF(NOT(OR(ISBLANK(J27),J27="")),(I27/12)*J27,""),0)</f>
        <v>0</v>
      </c>
      <c r="R27" s="336">
        <f>IF('Personnel Yr 1'!$K$5&gt;2,IF(NOT(OR(ISBLANK(K27),K27="")),(I27/8.5)*K27,""),0)</f>
        <v>0</v>
      </c>
      <c r="S27" s="335">
        <f>IF('Personnel Yr 1'!$K$5&gt;2,IF(NOT(OR(ISBLANK(L27),L27="")),(I27/8.5)*L27,""),0)</f>
        <v>0</v>
      </c>
      <c r="U27" s="335">
        <f t="shared" si="4"/>
        <v>0</v>
      </c>
      <c r="V27" s="335">
        <f t="shared" si="5"/>
        <v>0</v>
      </c>
      <c r="W27" s="335">
        <f t="shared" si="6"/>
        <v>0</v>
      </c>
      <c r="Y27" s="335">
        <v>27</v>
      </c>
      <c r="Z27" s="335" t="b">
        <f>IF('Personnel Yr 1'!$K$5&gt;2,IF(OR($O$5&lt;&gt;"Federal - NIH",OR(AND(ISBLANK(J27),ISBLANK(K27),ISBLANK(L27)),AND(J27="",K27="",L27=""))),FALSE,IF(J27&gt;0,I27&gt;NIHSalaryCap,I27&gt;(NIHSalaryCap*8.5)/12)),FALSE)</f>
        <v>0</v>
      </c>
    </row>
    <row r="28" spans="1:26" x14ac:dyDescent="0.2">
      <c r="A28" s="4">
        <v>9</v>
      </c>
      <c r="B28" s="5" t="str">
        <f>IF('Personnel Yr 1'!$K$5&gt;2,IF(NOT(OR(ISBLANK('Personnel Yr 2'!B28),'Personnel Yr 2'!B28="")),'Personnel Yr 2'!B28,""),"")</f>
        <v/>
      </c>
      <c r="C28" s="17" t="str">
        <f>IF('Personnel Yr 1'!$K$5&gt;2,IF(ISBLANK('Personnel Yr 2'!C28),"",'Personnel Yr 2'!C28),"")</f>
        <v/>
      </c>
      <c r="D28" s="17" t="str">
        <f>IF('Personnel Yr 1'!$K$5&gt;2,IF(ISBLANK('Personnel Yr 2'!D28),"",'Personnel Yr 2'!D28),"")</f>
        <v/>
      </c>
      <c r="E28" s="17" t="str">
        <f>IF('Personnel Yr 1'!$K$5&gt;2,IF(ISBLANK('Personnel Yr 2'!E28),"",'Personnel Yr 2'!E28),"")</f>
        <v/>
      </c>
      <c r="F28" s="17" t="str">
        <f>IF('Personnel Yr 1'!$K$5&gt;2,IF(ISBLANK('Personnel Yr 2'!F28),"",'Personnel Yr 2'!F28),"")</f>
        <v/>
      </c>
      <c r="G28" s="56" t="str">
        <f>IF('Personnel Yr 1'!$K$5&gt;2,IF(ISBLANK('Personnel Yr 2'!G28),"",'Personnel Yr 2'!G28),"")</f>
        <v/>
      </c>
      <c r="H28" s="17" t="str">
        <f>IF('Personnel Yr 1'!$K$5&gt;2,IF(ISBLANK('Personnel Yr 2'!H28),"",'Personnel Yr 2'!H28),"")</f>
        <v/>
      </c>
      <c r="I28" s="32" t="str">
        <f>IF('Personnel Yr 1'!$K$5&gt;2,IF(NOT(OR(ISBLANK('Personnel Yr 2'!I28),'Personnel Yr 2'!I28="")),(('Personnel Yr 2'!I28*'Personnel Yr 1'!$D$5)+'Personnel Yr 2'!I28),""),"")</f>
        <v/>
      </c>
      <c r="J28" s="17" t="str">
        <f>IF('Personnel Yr 1'!$K$5&gt;2,IF(AND(OR(ISBLANK(I28),I28=""),ISBLANK('Personnel Yr 2'!J28)),"",'Personnel Yr 2'!J28),"")</f>
        <v/>
      </c>
      <c r="K28" s="17" t="str">
        <f>IF('Personnel Yr 1'!$K$5&gt;2,IF(AND(OR(ISBLANK(J28),J28=""),ISBLANK('Personnel Yr 2'!K28)),"",'Personnel Yr 2'!K28),"")</f>
        <v/>
      </c>
      <c r="L28" s="17" t="str">
        <f>IF('Personnel Yr 1'!$K$5&gt;2,IF(AND(OR(ISBLANK(K28),K28=""),ISBLANK('Personnel Yr 2'!L28)),"",'Personnel Yr 2'!L28),"")</f>
        <v/>
      </c>
      <c r="M28" s="34" t="str">
        <f>IF('Personnel Yr 1'!$K$5&gt;2,IF(NOT(OR(ISBLANK(I28),I28="")), IF(OR(AND(ISBLANK(J28),ISBLANK(K28),ISBLANK(L28)),AND(J28="",K28="",L28="")),0, IF((AND((J28&gt;0),((K28+L28)&gt;0))),"Error", IF((J28&gt;0),ROUND((IF(AND('Personnel Yr 1'!$P$5&gt;0,I28&gt;'Personnel Yr 1'!$P$5),'Personnel Yr 1'!$P$5,I28)*(J28/12)),2),ROUND((IF(AND('Personnel Yr 1'!$P$5&gt;0,I28&gt;'Personnel Yr 1'!$P$5),'Personnel Yr 1'!$P$5,I28)*((K28+L28)/8.5)),2)))),""),"")</f>
        <v/>
      </c>
      <c r="N28" s="34" t="str">
        <f>IF('Personnel Yr 1'!$K$5&gt;2,IF(OR(ISBLANK(M28),M28=""),"",ROUND(SUM(U28:W28),2)),"")</f>
        <v/>
      </c>
      <c r="O28" s="41" t="str">
        <f>IF('Personnel Yr 1'!$K$5&gt;2,IF(OR(ISBLANK(N28),N28=""),"",ROUND(SUM(M28:N28),2)),"")</f>
        <v/>
      </c>
      <c r="P28" s="15"/>
      <c r="Q28" s="335">
        <f>IF('Personnel Yr 1'!$K$5&gt;2,IF(NOT(OR(ISBLANK(J28),J28="")),(I28/12)*J28,""),0)</f>
        <v>0</v>
      </c>
      <c r="R28" s="336">
        <f>IF('Personnel Yr 1'!$K$5&gt;2,IF(NOT(OR(ISBLANK(K28),K28="")),(I28/8.5)*K28,""),0)</f>
        <v>0</v>
      </c>
      <c r="S28" s="335">
        <f>IF('Personnel Yr 1'!$K$5&gt;2,IF(NOT(OR(ISBLANK(L28),L28="")),(I28/8.5)*L28,""),0)</f>
        <v>0</v>
      </c>
      <c r="U28" s="335">
        <f t="shared" si="4"/>
        <v>0</v>
      </c>
      <c r="V28" s="335">
        <f t="shared" si="5"/>
        <v>0</v>
      </c>
      <c r="W28" s="335">
        <f t="shared" si="6"/>
        <v>0</v>
      </c>
      <c r="Y28" s="335">
        <v>28</v>
      </c>
      <c r="Z28" s="335" t="b">
        <f>IF('Personnel Yr 1'!$K$5&gt;2,IF(OR($O$5&lt;&gt;"Federal - NIH",OR(AND(ISBLANK(J28),ISBLANK(K28),ISBLANK(L28)),AND(J28="",K28="",L28=""))),FALSE,IF(J28&gt;0,I28&gt;NIHSalaryCap,I28&gt;(NIHSalaryCap*8.5)/12)),FALSE)</f>
        <v>0</v>
      </c>
    </row>
    <row r="29" spans="1:26" x14ac:dyDescent="0.2">
      <c r="A29" s="4">
        <v>10</v>
      </c>
      <c r="B29" s="5" t="str">
        <f>IF('Personnel Yr 1'!$K$5&gt;2,IF(NOT(OR(ISBLANK('Personnel Yr 2'!B29),'Personnel Yr 2'!B29="")),'Personnel Yr 2'!B29,""),"")</f>
        <v/>
      </c>
      <c r="C29" s="17" t="str">
        <f>IF('Personnel Yr 1'!$K$5&gt;2,IF(ISBLANK('Personnel Yr 2'!C29),"",'Personnel Yr 2'!C29),"")</f>
        <v/>
      </c>
      <c r="D29" s="17" t="str">
        <f>IF('Personnel Yr 1'!$K$5&gt;2,IF(ISBLANK('Personnel Yr 2'!D29),"",'Personnel Yr 2'!D29),"")</f>
        <v/>
      </c>
      <c r="E29" s="17" t="str">
        <f>IF('Personnel Yr 1'!$K$5&gt;2,IF(ISBLANK('Personnel Yr 2'!E29),"",'Personnel Yr 2'!E29),"")</f>
        <v/>
      </c>
      <c r="F29" s="17" t="str">
        <f>IF('Personnel Yr 1'!$K$5&gt;2,IF(ISBLANK('Personnel Yr 2'!F29),"",'Personnel Yr 2'!F29),"")</f>
        <v/>
      </c>
      <c r="G29" s="17" t="str">
        <f>IF('Personnel Yr 1'!$K$5&gt;2,IF(ISBLANK('Personnel Yr 2'!G29),"",'Personnel Yr 2'!G29),"")</f>
        <v/>
      </c>
      <c r="H29" s="17" t="str">
        <f>IF('Personnel Yr 1'!$K$5&gt;2,IF(ISBLANK('Personnel Yr 2'!H29),"",'Personnel Yr 2'!H29),"")</f>
        <v/>
      </c>
      <c r="I29" s="32" t="str">
        <f>IF('Personnel Yr 1'!$K$5&gt;2,IF(NOT(OR(ISBLANK('Personnel Yr 2'!I29),'Personnel Yr 2'!I29="")),(('Personnel Yr 2'!I29*'Personnel Yr 1'!$D$5)+'Personnel Yr 2'!I29),""),"")</f>
        <v/>
      </c>
      <c r="J29" s="17" t="str">
        <f>IF('Personnel Yr 1'!$K$5&gt;2,IF(AND(OR(ISBLANK(I29),I29=""),ISBLANK('Personnel Yr 2'!J29)),"",'Personnel Yr 2'!J29),"")</f>
        <v/>
      </c>
      <c r="K29" s="17" t="str">
        <f>IF('Personnel Yr 1'!$K$5&gt;2,IF(AND(OR(ISBLANK(J29),J29=""),ISBLANK('Personnel Yr 2'!K29)),"",'Personnel Yr 2'!K29),"")</f>
        <v/>
      </c>
      <c r="L29" s="17" t="str">
        <f>IF('Personnel Yr 1'!$K$5&gt;2,IF(AND(OR(ISBLANK(K29),K29=""),ISBLANK('Personnel Yr 2'!L29)),"",'Personnel Yr 2'!L29),"")</f>
        <v/>
      </c>
      <c r="M29" s="34" t="str">
        <f>IF('Personnel Yr 1'!$K$5&gt;2,IF(NOT(OR(ISBLANK(I29),I29="")), IF(OR(AND(ISBLANK(J29),ISBLANK(K29),ISBLANK(L29)),AND(J29="",K29="",L29="")),0, IF((AND((J29&gt;0),((K29+L29)&gt;0))),"Error", IF((J29&gt;0),ROUND((IF(AND('Personnel Yr 1'!$P$5&gt;0,I29&gt;'Personnel Yr 1'!$P$5),'Personnel Yr 1'!$P$5,I29)*(J29/12)),2),ROUND((IF(AND('Personnel Yr 1'!$P$5&gt;0,I29&gt;'Personnel Yr 1'!$P$5),'Personnel Yr 1'!$P$5,I29)*((K29+L29)/8.5)),2)))),""),"")</f>
        <v/>
      </c>
      <c r="N29" s="34" t="str">
        <f>IF('Personnel Yr 1'!$K$5&gt;2,IF(OR(ISBLANK(M29),M29=""),"",ROUND(SUM(U29:W29),2)),"")</f>
        <v/>
      </c>
      <c r="O29" s="41" t="str">
        <f>IF('Personnel Yr 1'!$K$5&gt;2,IF(OR(ISBLANK(N29),N29=""),"",ROUND(SUM(M29:N29),2)),"")</f>
        <v/>
      </c>
      <c r="P29" s="15"/>
      <c r="Q29" s="335">
        <f>IF('Personnel Yr 1'!$K$5&gt;2,IF(NOT(OR(ISBLANK(J29),J29="")),(I29/12)*J29,""),0)</f>
        <v>0</v>
      </c>
      <c r="R29" s="336">
        <f>IF('Personnel Yr 1'!$K$5&gt;2,IF(NOT(OR(ISBLANK(K29),K29="")),(I29/8.5)*K29,""),0)</f>
        <v>0</v>
      </c>
      <c r="S29" s="335">
        <f>IF('Personnel Yr 1'!$K$5&gt;2,IF(NOT(OR(ISBLANK(L29),L29="")),(I29/8.5)*L29,""),0)</f>
        <v>0</v>
      </c>
      <c r="U29" s="335">
        <f t="shared" si="4"/>
        <v>0</v>
      </c>
      <c r="V29" s="335">
        <f t="shared" si="5"/>
        <v>0</v>
      </c>
      <c r="W29" s="335">
        <f t="shared" si="6"/>
        <v>0</v>
      </c>
      <c r="Y29" s="335">
        <v>29</v>
      </c>
      <c r="Z29" s="335" t="b">
        <f>IF('Personnel Yr 1'!$K$5&gt;2,IF(OR($O$5&lt;&gt;"Federal - NIH",OR(AND(ISBLANK(J29),ISBLANK(K29),ISBLANK(L29)),AND(J29="",K29="",L29=""))),FALSE,IF(J29&gt;0,I29&gt;NIHSalaryCap,I29&gt;(NIHSalaryCap*8.5)/12)),FALSE)</f>
        <v>0</v>
      </c>
    </row>
    <row r="30" spans="1:26" x14ac:dyDescent="0.2">
      <c r="A30" s="4">
        <v>11</v>
      </c>
      <c r="B30" s="5" t="str">
        <f>IF('Personnel Yr 1'!$K$5&gt;2,IF(NOT(OR(ISBLANK('Personnel Yr 2'!B30),'Personnel Yr 2'!B30="")),'Personnel Yr 2'!B30,""),"")</f>
        <v/>
      </c>
      <c r="C30" s="17" t="str">
        <f>IF('Personnel Yr 1'!$K$5&gt;2,IF(ISBLANK('Personnel Yr 2'!C30),"",'Personnel Yr 2'!C30),"")</f>
        <v/>
      </c>
      <c r="D30" s="17" t="str">
        <f>IF('Personnel Yr 1'!$K$5&gt;2,IF(ISBLANK('Personnel Yr 2'!D30),"",'Personnel Yr 2'!D30),"")</f>
        <v/>
      </c>
      <c r="E30" s="17" t="str">
        <f>IF('Personnel Yr 1'!$K$5&gt;2,IF(ISBLANK('Personnel Yr 2'!E30),"",'Personnel Yr 2'!E30),"")</f>
        <v/>
      </c>
      <c r="F30" s="17" t="str">
        <f>IF('Personnel Yr 1'!$K$5&gt;2,IF(ISBLANK('Personnel Yr 2'!F30),"",'Personnel Yr 2'!F30),"")</f>
        <v/>
      </c>
      <c r="G30" s="17" t="str">
        <f>IF('Personnel Yr 1'!$K$5&gt;2,IF(ISBLANK('Personnel Yr 2'!G30),"",'Personnel Yr 2'!G30),"")</f>
        <v/>
      </c>
      <c r="H30" s="17" t="str">
        <f>IF('Personnel Yr 1'!$K$5&gt;2,IF(ISBLANK('Personnel Yr 2'!H30),"",'Personnel Yr 2'!H30),"")</f>
        <v/>
      </c>
      <c r="I30" s="32" t="str">
        <f>IF('Personnel Yr 1'!$K$5&gt;2,IF(NOT(OR(ISBLANK('Personnel Yr 2'!I30),'Personnel Yr 2'!I30="")),(('Personnel Yr 2'!I30*'Personnel Yr 1'!$D$5)+'Personnel Yr 2'!I30),""),"")</f>
        <v/>
      </c>
      <c r="J30" s="17" t="str">
        <f>IF('Personnel Yr 1'!$K$5&gt;2,IF(AND(OR(ISBLANK(I30),I30=""),ISBLANK('Personnel Yr 2'!J30)),"",'Personnel Yr 2'!J30),"")</f>
        <v/>
      </c>
      <c r="K30" s="17" t="str">
        <f>IF('Personnel Yr 1'!$K$5&gt;2,IF(AND(OR(ISBLANK(J30),J30=""),ISBLANK('Personnel Yr 2'!K30)),"",'Personnel Yr 2'!K30),"")</f>
        <v/>
      </c>
      <c r="L30" s="17" t="str">
        <f>IF('Personnel Yr 1'!$K$5&gt;2,IF(AND(OR(ISBLANK(K30),K30=""),ISBLANK('Personnel Yr 2'!L30)),"",'Personnel Yr 2'!L30),"")</f>
        <v/>
      </c>
      <c r="M30" s="34" t="str">
        <f>IF('Personnel Yr 1'!$K$5&gt;2,IF(NOT(OR(ISBLANK(I30),I30="")), IF(OR(AND(ISBLANK(J30),ISBLANK(K30),ISBLANK(L30)),AND(J30="",K30="",L30="")),0, IF((AND((J30&gt;0),((K30+L30)&gt;0))),"Error", IF((J30&gt;0),ROUND((IF(AND('Personnel Yr 1'!$P$5&gt;0,I30&gt;'Personnel Yr 1'!$P$5),'Personnel Yr 1'!$P$5,I30)*(J30/12)),2),ROUND((IF(AND('Personnel Yr 1'!$P$5&gt;0,I30&gt;'Personnel Yr 1'!$P$5),'Personnel Yr 1'!$P$5,I30)*((K30+L30)/8.5)),2)))),""),"")</f>
        <v/>
      </c>
      <c r="N30" s="34" t="str">
        <f>IF('Personnel Yr 1'!$K$5&gt;2,IF(OR(ISBLANK(M30),M30=""),"",ROUND(SUM(U30:W30),2)),"")</f>
        <v/>
      </c>
      <c r="O30" s="41" t="str">
        <f>IF('Personnel Yr 1'!$K$5&gt;2,IF(OR(ISBLANK(N30),N30=""),"",ROUND(SUM(M30:N30),2)),"")</f>
        <v/>
      </c>
      <c r="P30" s="187"/>
      <c r="Q30" s="335">
        <f>IF('Personnel Yr 1'!$K$5&gt;2,IF(NOT(OR(ISBLANK(J30),J30="")),(I30/12)*J30,""),0)</f>
        <v>0</v>
      </c>
      <c r="R30" s="336">
        <f>IF('Personnel Yr 1'!$K$5&gt;2,IF(NOT(OR(ISBLANK(K30),K30="")),(I30/8.5)*K30,""),0)</f>
        <v>0</v>
      </c>
      <c r="S30" s="335">
        <f>IF('Personnel Yr 1'!$K$5&gt;2,IF(NOT(OR(ISBLANK(L30),L30="")),(I30/8.5)*L30,""),0)</f>
        <v>0</v>
      </c>
      <c r="U30" s="335">
        <f t="shared" si="4"/>
        <v>0</v>
      </c>
      <c r="V30" s="335">
        <f t="shared" si="5"/>
        <v>0</v>
      </c>
      <c r="W30" s="335">
        <f t="shared" si="6"/>
        <v>0</v>
      </c>
      <c r="Y30" s="335">
        <v>30</v>
      </c>
      <c r="Z30" s="335" t="b">
        <f>IF('Personnel Yr 1'!$K$5&gt;2,IF(OR($O$5&lt;&gt;"Federal - NIH",OR(AND(ISBLANK(J30),ISBLANK(K30),ISBLANK(L30)),AND(J30="",K30="",L30=""))),FALSE,IF(J30&gt;0,I30&gt;NIHSalaryCap,I30&gt;(NIHSalaryCap*8.5)/12)),FALSE)</f>
        <v>0</v>
      </c>
    </row>
    <row r="31" spans="1:26" x14ac:dyDescent="0.2">
      <c r="A31" s="4">
        <v>12</v>
      </c>
      <c r="B31" s="5" t="str">
        <f>IF('Personnel Yr 1'!$K$5&gt;2,IF(NOT(OR(ISBLANK('Personnel Yr 2'!B31),'Personnel Yr 2'!B31="")),'Personnel Yr 2'!B31,""),"")</f>
        <v/>
      </c>
      <c r="C31" s="17" t="str">
        <f>IF('Personnel Yr 1'!$K$5&gt;2,IF(ISBLANK('Personnel Yr 2'!C31),"",'Personnel Yr 2'!C31),"")</f>
        <v/>
      </c>
      <c r="D31" s="17" t="str">
        <f>IF('Personnel Yr 1'!$K$5&gt;2,IF(ISBLANK('Personnel Yr 2'!D31),"",'Personnel Yr 2'!D31),"")</f>
        <v/>
      </c>
      <c r="E31" s="17" t="str">
        <f>IF('Personnel Yr 1'!$K$5&gt;2,IF(ISBLANK('Personnel Yr 2'!E31),"",'Personnel Yr 2'!E31),"")</f>
        <v/>
      </c>
      <c r="F31" s="17" t="str">
        <f>IF('Personnel Yr 1'!$K$5&gt;2,IF(ISBLANK('Personnel Yr 2'!F31),"",'Personnel Yr 2'!F31),"")</f>
        <v/>
      </c>
      <c r="G31" s="17" t="str">
        <f>IF('Personnel Yr 1'!$K$5&gt;2,IF(ISBLANK('Personnel Yr 2'!G31),"",'Personnel Yr 2'!G31),"")</f>
        <v/>
      </c>
      <c r="H31" s="17" t="str">
        <f>IF('Personnel Yr 1'!$K$5&gt;2,IF(ISBLANK('Personnel Yr 2'!H31),"",'Personnel Yr 2'!H31),"")</f>
        <v/>
      </c>
      <c r="I31" s="32" t="str">
        <f>IF('Personnel Yr 1'!$K$5&gt;2,IF(NOT(OR(ISBLANK('Personnel Yr 2'!I31),'Personnel Yr 2'!I31="")),(('Personnel Yr 2'!I31*'Personnel Yr 1'!$D$5)+'Personnel Yr 2'!I31),""),"")</f>
        <v/>
      </c>
      <c r="J31" s="17" t="str">
        <f>IF('Personnel Yr 1'!$K$5&gt;2,IF(AND(OR(ISBLANK(I31),I31=""),ISBLANK('Personnel Yr 2'!J31)),"",'Personnel Yr 2'!J31),"")</f>
        <v/>
      </c>
      <c r="K31" s="17" t="str">
        <f>IF('Personnel Yr 1'!$K$5&gt;2,IF(AND(OR(ISBLANK(J31),J31=""),ISBLANK('Personnel Yr 2'!K31)),"",'Personnel Yr 2'!K31),"")</f>
        <v/>
      </c>
      <c r="L31" s="17" t="str">
        <f>IF('Personnel Yr 1'!$K$5&gt;2,IF(AND(OR(ISBLANK(K31),K31=""),ISBLANK('Personnel Yr 2'!L31)),"",'Personnel Yr 2'!L31),"")</f>
        <v/>
      </c>
      <c r="M31" s="34" t="str">
        <f>IF('Personnel Yr 1'!$K$5&gt;2,IF(NOT(OR(ISBLANK(I31),I31="")), IF(OR(AND(ISBLANK(J31),ISBLANK(K31),ISBLANK(L31)),AND(J31="",K31="",L31="")),0, IF((AND((J31&gt;0),((K31+L31)&gt;0))),"Error", IF((J31&gt;0),ROUND((IF(AND('Personnel Yr 1'!$P$5&gt;0,I31&gt;'Personnel Yr 1'!$P$5),'Personnel Yr 1'!$P$5,I31)*(J31/12)),2),ROUND((IF(AND('Personnel Yr 1'!$P$5&gt;0,I31&gt;'Personnel Yr 1'!$P$5),'Personnel Yr 1'!$P$5,I31)*((K31+L31)/8.5)),2)))),""),"")</f>
        <v/>
      </c>
      <c r="N31" s="34" t="str">
        <f>IF('Personnel Yr 1'!$K$5&gt;2,IF(OR(ISBLANK(M31),M31=""),"",ROUND(SUM(U31:W31),2)),"")</f>
        <v/>
      </c>
      <c r="O31" s="41" t="str">
        <f>IF('Personnel Yr 1'!$K$5&gt;2,IF(OR(ISBLANK(N31),N31=""),"",ROUND(SUM(M31:N31),2)),"")</f>
        <v/>
      </c>
      <c r="P31" s="15"/>
      <c r="Q31" s="335">
        <f>IF('Personnel Yr 1'!$K$5&gt;2,IF(NOT(OR(ISBLANK(J31),J31="")),(I31/12)*J31,""),0)</f>
        <v>0</v>
      </c>
      <c r="R31" s="336">
        <f>IF('Personnel Yr 1'!$K$5&gt;2,IF(NOT(OR(ISBLANK(K31),K31="")),(I31/8.5)*K31,""),0)</f>
        <v>0</v>
      </c>
      <c r="S31" s="335">
        <f>IF('Personnel Yr 1'!$K$5&gt;2,IF(NOT(OR(ISBLANK(L31),L31="")),(I31/8.5)*L31,""),0)</f>
        <v>0</v>
      </c>
      <c r="U31" s="335">
        <f t="shared" si="4"/>
        <v>0</v>
      </c>
      <c r="V31" s="335">
        <f t="shared" si="5"/>
        <v>0</v>
      </c>
      <c r="W31" s="335">
        <f t="shared" si="6"/>
        <v>0</v>
      </c>
      <c r="Y31" s="335">
        <v>31</v>
      </c>
      <c r="Z31" s="335" t="b">
        <f>IF('Personnel Yr 1'!$K$5&gt;2,IF(OR($O$5&lt;&gt;"Federal - NIH",OR(AND(ISBLANK(J31),ISBLANK(K31),ISBLANK(L31)),AND(J31="",K31="",L31=""))),FALSE,IF(J31&gt;0,I31&gt;NIHSalaryCap,I31&gt;(NIHSalaryCap*8.5)/12)),FALSE)</f>
        <v>0</v>
      </c>
    </row>
    <row r="32" spans="1:26" x14ac:dyDescent="0.2">
      <c r="A32" s="4">
        <v>13</v>
      </c>
      <c r="B32" s="57" t="str">
        <f>IF('Personnel Yr 1'!$K$5&gt;2,IF(NOT(OR(ISBLANK('Personnel Yr 2'!B32),'Personnel Yr 2'!B32="")),'Personnel Yr 2'!B32,""),"")</f>
        <v/>
      </c>
      <c r="C32" s="54" t="str">
        <f>IF('Personnel Yr 1'!$K$5&gt;2,IF(ISBLANK('Personnel Yr 2'!C32),"",'Personnel Yr 2'!C32),"")</f>
        <v/>
      </c>
      <c r="D32" s="54" t="str">
        <f>IF('Personnel Yr 1'!$K$5&gt;2,IF(ISBLANK('Personnel Yr 2'!D32),"",'Personnel Yr 2'!D32),"")</f>
        <v/>
      </c>
      <c r="E32" s="54" t="str">
        <f>IF('Personnel Yr 1'!$K$5&gt;2,IF(ISBLANK('Personnel Yr 2'!E32),"",'Personnel Yr 2'!E32),"")</f>
        <v/>
      </c>
      <c r="F32" s="54" t="str">
        <f>IF('Personnel Yr 1'!$K$5&gt;2,IF(ISBLANK('Personnel Yr 2'!F32),"",'Personnel Yr 2'!F32),"")</f>
        <v/>
      </c>
      <c r="G32" s="54" t="str">
        <f>IF('Personnel Yr 1'!$K$5&gt;2,IF(ISBLANK('Personnel Yr 2'!G32),"",'Personnel Yr 2'!G32),"")</f>
        <v/>
      </c>
      <c r="H32" s="17" t="str">
        <f>IF('Personnel Yr 1'!$K$5&gt;2,IF(ISBLANK('Personnel Yr 2'!H32),"",'Personnel Yr 2'!H32),"")</f>
        <v/>
      </c>
      <c r="I32" s="32" t="str">
        <f>IF('Personnel Yr 1'!$K$5&gt;2,IF(NOT(OR(ISBLANK('Personnel Yr 2'!I32),'Personnel Yr 2'!I32="")),(('Personnel Yr 2'!I32*'Personnel Yr 1'!$D$5)+'Personnel Yr 2'!I32),""),"")</f>
        <v/>
      </c>
      <c r="J32" s="17" t="str">
        <f>IF('Personnel Yr 1'!$K$5&gt;2,IF(AND(OR(ISBLANK(I32),I32=""),ISBLANK('Personnel Yr 2'!J32)),"",'Personnel Yr 2'!J32),"")</f>
        <v/>
      </c>
      <c r="K32" s="17" t="str">
        <f>IF('Personnel Yr 1'!$K$5&gt;2,IF(AND(OR(ISBLANK(J32),J32=""),ISBLANK('Personnel Yr 2'!K32)),"",'Personnel Yr 2'!K32),"")</f>
        <v/>
      </c>
      <c r="L32" s="17" t="str">
        <f>IF('Personnel Yr 1'!$K$5&gt;2,IF(AND(OR(ISBLANK(K32),K32=""),ISBLANK('Personnel Yr 2'!L32)),"",'Personnel Yr 2'!L32),"")</f>
        <v/>
      </c>
      <c r="M32" s="34" t="str">
        <f>IF('Personnel Yr 1'!$K$5&gt;2,IF(NOT(OR(ISBLANK(I32),I32="")), IF(OR(AND(ISBLANK(J32),ISBLANK(K32),ISBLANK(L32)),AND(J32="",K32="",L32="")),0, IF((AND((J32&gt;0),((K32+L32)&gt;0))),"Error", IF((J32&gt;0),ROUND((IF(AND('Personnel Yr 1'!$P$5&gt;0,I32&gt;'Personnel Yr 1'!$P$5),'Personnel Yr 1'!$P$5,I32)*(J32/12)),2),ROUND((IF(AND('Personnel Yr 1'!$P$5&gt;0,I32&gt;'Personnel Yr 1'!$P$5),'Personnel Yr 1'!$P$5,I32)*((K32+L32)/8.5)),2)))),""),"")</f>
        <v/>
      </c>
      <c r="N32" s="39" t="str">
        <f>IF('Personnel Yr 1'!$K$5&gt;2,IF(OR(ISBLANK(M32),M32=""),"",ROUND(SUM(U32:W32),2)),"")</f>
        <v/>
      </c>
      <c r="O32" s="40" t="str">
        <f>IF('Personnel Yr 1'!$K$5&gt;2,IF(OR(ISBLANK(N32),N32=""),"",ROUND(SUM(M32:N32),2)),"")</f>
        <v/>
      </c>
      <c r="P32" s="14"/>
      <c r="Q32" s="335">
        <f>IF('Personnel Yr 1'!$K$5&gt;2,IF(NOT(OR(ISBLANK(J32),J32="")),(I32/12)*J32,""),0)</f>
        <v>0</v>
      </c>
      <c r="R32" s="336">
        <f>IF('Personnel Yr 1'!$K$5&gt;2,IF(NOT(OR(ISBLANK(K32),K32="")),(I32/8.5)*K32,""),0)</f>
        <v>0</v>
      </c>
      <c r="S32" s="335">
        <f>IF('Personnel Yr 1'!$K$5&gt;2,IF(NOT(OR(ISBLANK(L32),L32="")),(I32/8.5)*L32,""),0)</f>
        <v>0</v>
      </c>
      <c r="U32" s="335">
        <f t="shared" si="4"/>
        <v>0</v>
      </c>
      <c r="V32" s="335">
        <f t="shared" si="5"/>
        <v>0</v>
      </c>
      <c r="W32" s="335">
        <f t="shared" si="6"/>
        <v>0</v>
      </c>
      <c r="Y32" s="335">
        <v>32</v>
      </c>
      <c r="Z32" s="335" t="b">
        <f>IF('Personnel Yr 1'!$K$5&gt;2,IF(OR($O$5&lt;&gt;"Federal - NIH",OR(AND(ISBLANK(J32),ISBLANK(K32),ISBLANK(L32)),AND(J32="",K32="",L32=""))),FALSE,IF(J32&gt;0,I32&gt;NIHSalaryCap,I32&gt;(NIHSalaryCap*8.5)/12)),FALSE)</f>
        <v>0</v>
      </c>
    </row>
    <row r="33" spans="1:26" x14ac:dyDescent="0.2">
      <c r="A33" s="4">
        <v>14</v>
      </c>
      <c r="B33" s="5" t="str">
        <f>IF('Personnel Yr 1'!$K$5&gt;2,IF(NOT(OR(ISBLANK('Personnel Yr 2'!B33),'Personnel Yr 2'!B33="")),'Personnel Yr 2'!B33,""),"")</f>
        <v/>
      </c>
      <c r="C33" s="17" t="str">
        <f>IF('Personnel Yr 1'!$K$5&gt;2,IF(ISBLANK('Personnel Yr 2'!C33),"",'Personnel Yr 2'!C33),"")</f>
        <v/>
      </c>
      <c r="D33" s="17" t="str">
        <f>IF('Personnel Yr 1'!$K$5&gt;2,IF(ISBLANK('Personnel Yr 2'!D33),"",'Personnel Yr 2'!D33),"")</f>
        <v/>
      </c>
      <c r="E33" s="17" t="str">
        <f>IF('Personnel Yr 1'!$K$5&gt;2,IF(ISBLANK('Personnel Yr 2'!E33),"",'Personnel Yr 2'!E33),"")</f>
        <v/>
      </c>
      <c r="F33" s="17" t="str">
        <f>IF('Personnel Yr 1'!$K$5&gt;2,IF(ISBLANK('Personnel Yr 2'!F33),"",'Personnel Yr 2'!F33),"")</f>
        <v/>
      </c>
      <c r="G33" s="17" t="str">
        <f>IF('Personnel Yr 1'!$K$5&gt;2,IF(ISBLANK('Personnel Yr 2'!G33),"",'Personnel Yr 2'!G33),"")</f>
        <v/>
      </c>
      <c r="H33" s="17" t="str">
        <f>IF('Personnel Yr 1'!$K$5&gt;2,IF(ISBLANK('Personnel Yr 2'!H33),"",'Personnel Yr 2'!H33),"")</f>
        <v/>
      </c>
      <c r="I33" s="32" t="str">
        <f>IF('Personnel Yr 1'!$K$5&gt;2,IF(NOT(OR(ISBLANK('Personnel Yr 2'!I33),'Personnel Yr 2'!I33="")),(('Personnel Yr 2'!I33*'Personnel Yr 1'!$D$5)+'Personnel Yr 2'!I33),""),"")</f>
        <v/>
      </c>
      <c r="J33" s="17" t="str">
        <f>IF('Personnel Yr 1'!$K$5&gt;2,IF(AND(OR(ISBLANK(I33),I33=""),ISBLANK('Personnel Yr 2'!J33)),"",'Personnel Yr 2'!J33),"")</f>
        <v/>
      </c>
      <c r="K33" s="17" t="str">
        <f>IF('Personnel Yr 1'!$K$5&gt;2,IF(AND(OR(ISBLANK(J33),J33=""),ISBLANK('Personnel Yr 2'!K33)),"",'Personnel Yr 2'!K33),"")</f>
        <v/>
      </c>
      <c r="L33" s="17" t="str">
        <f>IF('Personnel Yr 1'!$K$5&gt;2,IF(AND(OR(ISBLANK(K33),K33=""),ISBLANK('Personnel Yr 2'!L33)),"",'Personnel Yr 2'!L33),"")</f>
        <v/>
      </c>
      <c r="M33" s="34" t="str">
        <f>IF('Personnel Yr 1'!$K$5&gt;2,IF(NOT(OR(ISBLANK(I33),I33="")), IF(OR(AND(ISBLANK(J33),ISBLANK(K33),ISBLANK(L33)),AND(J33="",K33="",L33="")),0, IF((AND((J33&gt;0),((K33+L33)&gt;0))),"Error", IF((J33&gt;0),ROUND((IF(AND('Personnel Yr 1'!$P$5&gt;0,I33&gt;'Personnel Yr 1'!$P$5),'Personnel Yr 1'!$P$5,I33)*(J33/12)),2),ROUND((IF(AND('Personnel Yr 1'!$P$5&gt;0,I33&gt;'Personnel Yr 1'!$P$5),'Personnel Yr 1'!$P$5,I33)*((K33+L33)/8.5)),2)))),""),"")</f>
        <v/>
      </c>
      <c r="N33" s="34" t="str">
        <f>IF('Personnel Yr 1'!$K$5&gt;2,IF(OR(ISBLANK(M33),M33=""),"",ROUND(SUM(U33:W33),2)),"")</f>
        <v/>
      </c>
      <c r="O33" s="41" t="str">
        <f>IF('Personnel Yr 1'!$K$5&gt;2,IF(OR(ISBLANK(N33),N33=""),"",ROUND(SUM(M33:N33),2)),"")</f>
        <v/>
      </c>
      <c r="P33" s="187"/>
      <c r="Q33" s="335">
        <f>IF('Personnel Yr 1'!$K$5&gt;2,IF(NOT(OR(ISBLANK(J33),J33="")),(I33/12)*J33,""),0)</f>
        <v>0</v>
      </c>
      <c r="R33" s="336">
        <f>IF('Personnel Yr 1'!$K$5&gt;2,IF(NOT(OR(ISBLANK(K33),K33="")),(I33/8.5)*K33,""),0)</f>
        <v>0</v>
      </c>
      <c r="S33" s="335">
        <f>IF('Personnel Yr 1'!$K$5&gt;2,IF(NOT(OR(ISBLANK(L33),L33="")),(I33/8.5)*L33,""),0)</f>
        <v>0</v>
      </c>
      <c r="U33" s="335">
        <f t="shared" si="4"/>
        <v>0</v>
      </c>
      <c r="V33" s="335">
        <f t="shared" si="5"/>
        <v>0</v>
      </c>
      <c r="W33" s="335">
        <f t="shared" si="6"/>
        <v>0</v>
      </c>
      <c r="Y33" s="335">
        <v>33</v>
      </c>
      <c r="Z33" s="335" t="b">
        <f>IF('Personnel Yr 1'!$K$5&gt;2,IF(OR($O$5&lt;&gt;"Federal - NIH",OR(AND(ISBLANK(J33),ISBLANK(K33),ISBLANK(L33)),AND(J33="",K33="",L33=""))),FALSE,IF(J33&gt;0,I33&gt;NIHSalaryCap,I33&gt;(NIHSalaryCap*8.5)/12)),FALSE)</f>
        <v>0</v>
      </c>
    </row>
    <row r="34" spans="1:26" ht="12.75" customHeight="1" thickBot="1" x14ac:dyDescent="0.25">
      <c r="A34" s="4">
        <v>15</v>
      </c>
      <c r="B34" s="202" t="str">
        <f>IF('Personnel Yr 1'!$K$5&gt;2,IF(NOT(OR(ISBLANK('Personnel Yr 2'!B34),'Personnel Yr 2'!B34="")),'Personnel Yr 2'!B34,""),"")</f>
        <v/>
      </c>
      <c r="C34" s="22" t="str">
        <f>IF('Personnel Yr 1'!$K$5&gt;2,IF(ISBLANK('Personnel Yr 2'!C34),"",'Personnel Yr 2'!C34),"")</f>
        <v/>
      </c>
      <c r="D34" s="22" t="str">
        <f>IF('Personnel Yr 1'!$K$5&gt;2,IF(ISBLANK('Personnel Yr 2'!D34),"",'Personnel Yr 2'!D34),"")</f>
        <v/>
      </c>
      <c r="E34" s="22" t="str">
        <f>IF('Personnel Yr 1'!$K$5&gt;2,IF(ISBLANK('Personnel Yr 2'!E34),"",'Personnel Yr 2'!E34),"")</f>
        <v/>
      </c>
      <c r="F34" s="22" t="str">
        <f>IF('Personnel Yr 1'!$K$5&gt;2,IF(ISBLANK('Personnel Yr 2'!F34),"",'Personnel Yr 2'!F34),"")</f>
        <v/>
      </c>
      <c r="G34" s="206" t="str">
        <f>IF('Personnel Yr 1'!$K$5&gt;2,IF(ISBLANK('Personnel Yr 2'!G34),"",'Personnel Yr 2'!G34),"")</f>
        <v/>
      </c>
      <c r="H34" s="22" t="str">
        <f>IF('Personnel Yr 1'!$K$5&gt;2,IF(ISBLANK('Personnel Yr 2'!H34),"",'Personnel Yr 2'!H34),"")</f>
        <v/>
      </c>
      <c r="I34" s="33" t="str">
        <f>IF('Personnel Yr 1'!$K$5&gt;2,IF(NOT(OR(ISBLANK('Personnel Yr 2'!I34),'Personnel Yr 2'!I34="")),(('Personnel Yr 2'!I34*'Personnel Yr 1'!$D$5)+'Personnel Yr 2'!I34),""),"")</f>
        <v/>
      </c>
      <c r="J34" s="22" t="str">
        <f>IF('Personnel Yr 1'!$K$5&gt;2,IF(AND(OR(ISBLANK(I34),I34=""),ISBLANK('Personnel Yr 2'!J34)),"",'Personnel Yr 2'!J34),"")</f>
        <v/>
      </c>
      <c r="K34" s="22" t="str">
        <f>IF('Personnel Yr 1'!$K$5&gt;2,IF(AND(OR(ISBLANK(J34),J34=""),ISBLANK('Personnel Yr 2'!K34)),"",'Personnel Yr 2'!K34),"")</f>
        <v/>
      </c>
      <c r="L34" s="22" t="str">
        <f>IF('Personnel Yr 1'!$K$5&gt;2,IF(AND(OR(ISBLANK(K34),K34=""),ISBLANK('Personnel Yr 2'!L34)),"",'Personnel Yr 2'!L34),"")</f>
        <v/>
      </c>
      <c r="M34" s="42" t="str">
        <f>IF('Personnel Yr 1'!$K$5&gt;2,IF(NOT(OR(ISBLANK(I34),I34="")), IF(OR(AND(ISBLANK(J34),ISBLANK(K34),ISBLANK(L34)),AND(J34="",K34="",L34="")),0, IF((AND((J34&gt;0),((K34+L34)&gt;0))),"Error", IF((J34&gt;0),ROUND((IF(AND('Personnel Yr 1'!$P$5&gt;0,I34&gt;'Personnel Yr 1'!$P$5),'Personnel Yr 1'!$P$5,I34)*(J34/12)),2),ROUND((IF(AND('Personnel Yr 1'!$P$5&gt;0,I34&gt;'Personnel Yr 1'!$P$5),'Personnel Yr 1'!$P$5,I34)*((K34+L34)/8.5)),2)))),""),"")</f>
        <v/>
      </c>
      <c r="N34" s="207" t="str">
        <f>IF('Personnel Yr 1'!$K$5&gt;2,IF(OR(ISBLANK(M34),M34=""),"",ROUND(SUM(U34:W34),2)),"")</f>
        <v/>
      </c>
      <c r="O34" s="208" t="str">
        <f>IF('Personnel Yr 1'!$K$5&gt;2,IF(OR(ISBLANK(N34),N34=""),"",ROUND(SUM(M34:N34),2)),"")</f>
        <v/>
      </c>
      <c r="P34" s="189"/>
      <c r="Q34" s="335">
        <f>IF('Personnel Yr 1'!$K$5&gt;2,IF(NOT(OR(ISBLANK(J34),J34="")),(I34/12)*J34,""),0)</f>
        <v>0</v>
      </c>
      <c r="R34" s="336">
        <f>IF('Personnel Yr 1'!$K$5&gt;2,IF(NOT(OR(ISBLANK(K34),K34="")),(I34/8.5)*K34,""),0)</f>
        <v>0</v>
      </c>
      <c r="S34" s="335">
        <f>IF('Personnel Yr 1'!$K$5&gt;2,IF(NOT(OR(ISBLANK(L34),L34="")),(I34/8.5)*L34,""),0)</f>
        <v>0</v>
      </c>
      <c r="U34" s="335">
        <f t="shared" si="4"/>
        <v>0</v>
      </c>
      <c r="V34" s="335">
        <f t="shared" si="5"/>
        <v>0</v>
      </c>
      <c r="W34" s="335">
        <f t="shared" si="6"/>
        <v>0</v>
      </c>
      <c r="Y34" s="335">
        <v>34</v>
      </c>
      <c r="Z34" s="335" t="b">
        <f>IF('Personnel Yr 1'!$K$5&gt;2,IF(OR($O$5&lt;&gt;"Federal - NIH",OR(AND(ISBLANK(J34),ISBLANK(K34),ISBLANK(L34)),AND(J34="",K34="",L34=""))),FALSE,IF(J34&gt;0,I34&gt;NIHSalaryCap,I34&gt;(NIHSalaryCap*8.5)/12)),FALSE)</f>
        <v>0</v>
      </c>
    </row>
    <row r="35" spans="1:26" ht="13.5" thickBot="1" x14ac:dyDescent="0.25">
      <c r="B35" s="20">
        <f>ROWS(E20:E34)-COUNTIF(E20:E34,"")</f>
        <v>0</v>
      </c>
      <c r="O35" s="45">
        <f>SUM(O20:O34)</f>
        <v>0</v>
      </c>
      <c r="Q35" s="335">
        <f>SUM(Q20:Q34)</f>
        <v>0</v>
      </c>
      <c r="R35" s="335">
        <f t="shared" ref="R35:W35" si="7">SUM(R20:R34)</f>
        <v>0</v>
      </c>
      <c r="S35" s="335">
        <f t="shared" si="7"/>
        <v>0</v>
      </c>
      <c r="T35" s="335">
        <f t="shared" si="7"/>
        <v>0</v>
      </c>
      <c r="U35" s="335">
        <f t="shared" si="7"/>
        <v>0</v>
      </c>
      <c r="V35" s="335">
        <f t="shared" si="7"/>
        <v>0</v>
      </c>
      <c r="W35" s="335">
        <f t="shared" si="7"/>
        <v>0</v>
      </c>
    </row>
    <row r="36" spans="1:26" x14ac:dyDescent="0.2">
      <c r="K36" s="9"/>
      <c r="L36" s="9"/>
      <c r="M36" s="9"/>
      <c r="N36" s="9"/>
    </row>
    <row r="37" spans="1:26" x14ac:dyDescent="0.2">
      <c r="B37" s="516" t="s">
        <v>6</v>
      </c>
      <c r="C37" s="516"/>
      <c r="D37" s="545" t="s">
        <v>577</v>
      </c>
      <c r="E37" s="546"/>
      <c r="F37" s="546"/>
      <c r="G37" s="546"/>
      <c r="H37" s="546"/>
      <c r="I37" s="546"/>
      <c r="J37" s="546"/>
      <c r="K37" s="546"/>
      <c r="L37" s="546"/>
    </row>
    <row r="38" spans="1:26" ht="26.25" thickBot="1" x14ac:dyDescent="0.25">
      <c r="B38" s="10" t="s">
        <v>7</v>
      </c>
      <c r="C38" s="11"/>
      <c r="D38" s="11"/>
      <c r="E38" s="11"/>
      <c r="F38" s="11"/>
      <c r="G38" s="11"/>
      <c r="H38" s="404"/>
      <c r="I38" s="2" t="s">
        <v>61</v>
      </c>
      <c r="J38" s="2" t="s">
        <v>56</v>
      </c>
      <c r="K38" s="2" t="s">
        <v>57</v>
      </c>
      <c r="L38" s="2" t="s">
        <v>58</v>
      </c>
      <c r="M38" s="2" t="s">
        <v>41</v>
      </c>
      <c r="N38" s="3" t="s">
        <v>42</v>
      </c>
      <c r="O38" s="3" t="s">
        <v>38</v>
      </c>
      <c r="P38" s="2" t="s">
        <v>224</v>
      </c>
    </row>
    <row r="39" spans="1:26" x14ac:dyDescent="0.2">
      <c r="B39" s="12" t="str">
        <f>IF('Personnel Yr 1'!$K$5&gt;1,IF(OR(ISBLANK('Personnel Yr 2'!B39),'Personnel Yr 2'!B39=""),"",'Personnel Yr 2'!B39),"")</f>
        <v/>
      </c>
      <c r="C39" s="547" t="s">
        <v>538</v>
      </c>
      <c r="D39" s="548"/>
      <c r="E39" s="548"/>
      <c r="F39" s="548"/>
      <c r="G39" s="548"/>
      <c r="H39" s="548"/>
      <c r="I39" s="549"/>
      <c r="J39" s="419" t="str">
        <f>IF('Personnel Yr 1'!$K$5&gt;1,IF(OR(ISBLANK('Personnel Yr 1'!J39),'Personnel Yr 1'!J39=""),"",'Personnel Yr 1'!J39),"")</f>
        <v/>
      </c>
      <c r="K39" s="419" t="str">
        <f>IF('Personnel Yr 1'!$K$5&gt;1,IF(OR(ISBLANK('Personnel Yr 1'!K39),'Personnel Yr 1'!K39=""),"",'Personnel Yr 1'!K39),"")</f>
        <v/>
      </c>
      <c r="L39" s="419" t="str">
        <f>IF('Personnel Yr 1'!$K$5&gt;1,IF(OR(ISBLANK('Personnel Yr 1'!L39),'Personnel Yr 1'!L39=""),"",'Personnel Yr 1'!L39),"")</f>
        <v/>
      </c>
      <c r="M39" s="35" t="str">
        <f t="shared" ref="M39:M48" si="8">IF(COUNTIF($G$53:$G$67,C39)=0,"",SUMIF($G$53:$G$72,C39,$M$53:$M$72))</f>
        <v/>
      </c>
      <c r="N39" s="35" t="str">
        <f>IF(M39="","",ROUND(M39*_xlfn.XLOOKUP("Full",Ben,Per),2))</f>
        <v/>
      </c>
      <c r="O39" s="36" t="str">
        <f t="shared" ref="O39:O48" si="9">IF(M39="","",ROUND(SUM(M39:N39),2))</f>
        <v/>
      </c>
      <c r="P39" s="282"/>
    </row>
    <row r="40" spans="1:26" x14ac:dyDescent="0.2">
      <c r="B40" s="15" t="str">
        <f>IF('Personnel Yr 1'!$K$5&gt;1,IF(OR(ISBLANK('Personnel Yr 2'!B40),'Personnel Yr 2'!B40=""),"",'Personnel Yr 2'!B40),"")</f>
        <v/>
      </c>
      <c r="C40" s="499" t="s">
        <v>529</v>
      </c>
      <c r="D40" s="553"/>
      <c r="E40" s="553"/>
      <c r="F40" s="553"/>
      <c r="G40" s="553"/>
      <c r="H40" s="553"/>
      <c r="I40" s="554"/>
      <c r="J40" s="420"/>
      <c r="K40" s="420"/>
      <c r="L40" s="420"/>
      <c r="M40" s="34" t="str">
        <f t="shared" si="8"/>
        <v/>
      </c>
      <c r="N40" s="34" t="str">
        <f>IF(M40="","",ROUND(M40*_xlfn.XLOOKUP("Full",Ben,Per),2))</f>
        <v/>
      </c>
      <c r="O40" s="41" t="str">
        <f t="shared" si="9"/>
        <v/>
      </c>
      <c r="P40" s="413"/>
    </row>
    <row r="41" spans="1:26" x14ac:dyDescent="0.2">
      <c r="B41" s="15" t="str">
        <f>IF('Personnel Yr 1'!$K$5&gt;1,IF(OR(ISBLANK('Personnel Yr 2'!B41),'Personnel Yr 2'!B41=""),"",'Personnel Yr 2'!B41),"")</f>
        <v/>
      </c>
      <c r="C41" s="499" t="s">
        <v>545</v>
      </c>
      <c r="D41" s="553"/>
      <c r="E41" s="553"/>
      <c r="F41" s="553"/>
      <c r="G41" s="553"/>
      <c r="H41" s="553"/>
      <c r="I41" s="554"/>
      <c r="J41" s="420"/>
      <c r="K41" s="420"/>
      <c r="L41" s="420"/>
      <c r="M41" s="34" t="str">
        <f t="shared" si="8"/>
        <v/>
      </c>
      <c r="N41" s="34" t="str">
        <f>IF(M41="","",ROUND(M41*_xlfn.XLOOKUP("Temp",Ben,Per),2))</f>
        <v/>
      </c>
      <c r="O41" s="41" t="str">
        <f t="shared" si="9"/>
        <v/>
      </c>
      <c r="P41" s="413"/>
    </row>
    <row r="42" spans="1:26" x14ac:dyDescent="0.2">
      <c r="B42" s="15" t="str">
        <f>IF('Personnel Yr 1'!$K$5&gt;1,IF(OR(ISBLANK('Personnel Yr 2'!B42),'Personnel Yr 2'!B42=""),"",'Personnel Yr 2'!B42),"")</f>
        <v/>
      </c>
      <c r="C42" s="511" t="s">
        <v>584</v>
      </c>
      <c r="D42" s="500"/>
      <c r="E42" s="500"/>
      <c r="F42" s="500"/>
      <c r="G42" s="500"/>
      <c r="H42" s="500"/>
      <c r="I42" s="512"/>
      <c r="J42" s="421" t="str">
        <f>IF('Personnel Yr 1'!$K$5&gt;1,IF(OR(ISBLANK('Personnel Yr 1'!J42),'Personnel Yr 1'!J42=""),"",'Personnel Yr 1'!J42),"")</f>
        <v/>
      </c>
      <c r="K42" s="421" t="str">
        <f>IF('Personnel Yr 1'!$K$5&gt;1,IF(OR(ISBLANK('Personnel Yr 1'!K42),'Personnel Yr 1'!K42=""),"",'Personnel Yr 1'!K42),"")</f>
        <v/>
      </c>
      <c r="L42" s="421" t="str">
        <f>IF('Personnel Yr 1'!$K$5&gt;1,IF(OR(ISBLANK('Personnel Yr 1'!L42),'Personnel Yr 1'!L42=""),"",'Personnel Yr 1'!L42),"")</f>
        <v/>
      </c>
      <c r="M42" s="34" t="str">
        <f t="shared" si="8"/>
        <v/>
      </c>
      <c r="N42" s="39" t="str">
        <f>IF(M42="","",ROUND(M42*_xlfn.XLOOKUP("Full",Ben,Per),2))</f>
        <v/>
      </c>
      <c r="O42" s="40" t="str">
        <f t="shared" si="9"/>
        <v/>
      </c>
      <c r="P42" s="283"/>
    </row>
    <row r="43" spans="1:26" x14ac:dyDescent="0.2">
      <c r="B43" s="15" t="str">
        <f>IF('Personnel Yr 1'!$K$5&gt;1,IF(OR(ISBLANK('Personnel Yr 2'!B43),'Personnel Yr 2'!B43=""),"",'Personnel Yr 2'!B43),"")</f>
        <v/>
      </c>
      <c r="C43" s="499" t="s">
        <v>578</v>
      </c>
      <c r="D43" s="500"/>
      <c r="E43" s="500"/>
      <c r="F43" s="500"/>
      <c r="G43" s="393"/>
      <c r="H43" s="393"/>
      <c r="I43" s="425" t="str">
        <f>IF('Personnel Yr 1'!$K$5&gt;2,IF(OR(ISBLANK('Personnel Yr 2'!I43),'Personnel Yr 2'!I43=""),"",'Personnel Yr 2'!I43),"")</f>
        <v/>
      </c>
      <c r="J43" s="422" t="str">
        <f>IF('Personnel Yr 1'!$K$5&gt;1,IF(OR(ISBLANK('Personnel Yr 1'!J43),'Personnel Yr 1'!J43=""),"",'Personnel Yr 1'!J43),"")</f>
        <v/>
      </c>
      <c r="K43" s="422" t="str">
        <f>IF('Personnel Yr 1'!$K$5&gt;1,IF(OR(ISBLANK('Personnel Yr 1'!K43),'Personnel Yr 1'!K43=""),"",'Personnel Yr 1'!K43),"")</f>
        <v/>
      </c>
      <c r="L43" s="422" t="str">
        <f>IF('Personnel Yr 1'!$K$5&gt;1,IF(OR(ISBLANK('Personnel Yr 1'!L43),'Personnel Yr 1'!L43=""),"",'Personnel Yr 1'!L43),"")</f>
        <v/>
      </c>
      <c r="M43" s="34" t="str">
        <f t="shared" si="8"/>
        <v/>
      </c>
      <c r="N43" s="37" t="str">
        <f>IF(M43="","",ROUND(M43*_xlfn.XLOOKUP(I43,Grad,GradR),2))</f>
        <v/>
      </c>
      <c r="O43" s="40" t="str">
        <f t="shared" si="9"/>
        <v/>
      </c>
      <c r="P43" s="283"/>
    </row>
    <row r="44" spans="1:26" x14ac:dyDescent="0.2">
      <c r="B44" s="15" t="str">
        <f>IF('Personnel Yr 1'!$K$5&gt;1,IF(OR(ISBLANK('Personnel Yr 2'!B44),'Personnel Yr 2'!B44=""),"",'Personnel Yr 2'!B44),"")</f>
        <v/>
      </c>
      <c r="C44" s="511" t="s">
        <v>583</v>
      </c>
      <c r="D44" s="500"/>
      <c r="E44" s="500"/>
      <c r="F44" s="500"/>
      <c r="G44" s="500"/>
      <c r="H44" s="500"/>
      <c r="I44" s="501"/>
      <c r="J44" s="423" t="str">
        <f>IF('Personnel Yr 1'!$K$5&gt;1,IF(OR(ISBLANK('Personnel Yr 1'!J44),'Personnel Yr 1'!J44=""),"",'Personnel Yr 1'!J44),"")</f>
        <v/>
      </c>
      <c r="K44" s="423" t="str">
        <f>IF('Personnel Yr 1'!$K$5&gt;1,IF(OR(ISBLANK('Personnel Yr 1'!K44),'Personnel Yr 1'!K44=""),"",'Personnel Yr 1'!K44),"")</f>
        <v/>
      </c>
      <c r="L44" s="423" t="str">
        <f>IF('Personnel Yr 1'!$K$5&gt;1,IF(OR(ISBLANK('Personnel Yr 1'!L44),'Personnel Yr 1'!L44=""),"",'Personnel Yr 1'!L44),"")</f>
        <v/>
      </c>
      <c r="M44" s="34" t="str">
        <f t="shared" si="8"/>
        <v/>
      </c>
      <c r="N44" s="37" t="str">
        <f>IF(M44="","",ROUND(M44*_xlfn.XLOOKUP("Temp",Ben,Per),2))</f>
        <v/>
      </c>
      <c r="O44" s="40" t="str">
        <f t="shared" si="9"/>
        <v/>
      </c>
      <c r="P44" s="283"/>
    </row>
    <row r="45" spans="1:26" x14ac:dyDescent="0.2">
      <c r="B45" s="15" t="str">
        <f>IF('Personnel Yr 1'!$K$5&gt;1,IF(OR(ISBLANK('Personnel Yr 2'!B45),'Personnel Yr 2'!B45=""),"",'Personnel Yr 2'!B45),"")</f>
        <v/>
      </c>
      <c r="C45" s="499" t="s">
        <v>537</v>
      </c>
      <c r="D45" s="500"/>
      <c r="E45" s="500"/>
      <c r="F45" s="500"/>
      <c r="G45" s="500"/>
      <c r="H45" s="500"/>
      <c r="I45" s="501"/>
      <c r="J45" s="423" t="str">
        <f>IF('Personnel Yr 1'!$K$5&gt;1,IF(OR(ISBLANK('Personnel Yr 1'!J45),'Personnel Yr 1'!J45=""),"",'Personnel Yr 1'!J45),"")</f>
        <v/>
      </c>
      <c r="K45" s="423" t="str">
        <f>IF('Personnel Yr 1'!$K$5&gt;1,IF(OR(ISBLANK('Personnel Yr 1'!K45),'Personnel Yr 1'!K45=""),"",'Personnel Yr 1'!K45),"")</f>
        <v/>
      </c>
      <c r="L45" s="423" t="str">
        <f>IF('Personnel Yr 1'!$K$5&gt;1,IF(OR(ISBLANK('Personnel Yr 1'!L45),'Personnel Yr 1'!L45=""),"",'Personnel Yr 1'!L45),"")</f>
        <v/>
      </c>
      <c r="M45" s="34" t="str">
        <f t="shared" si="8"/>
        <v/>
      </c>
      <c r="N45" s="37" t="str">
        <f>IF(M45="","",ROUND(M45*_xlfn.XLOOKUP("Full",Ben,Per),2))</f>
        <v/>
      </c>
      <c r="O45" s="40" t="str">
        <f t="shared" si="9"/>
        <v/>
      </c>
      <c r="P45" s="283"/>
    </row>
    <row r="46" spans="1:26" x14ac:dyDescent="0.2">
      <c r="B46" s="15" t="str">
        <f>IF('Personnel Yr 1'!$K$5&gt;1,IF(OR(ISBLANK('Personnel Yr 2'!B46),'Personnel Yr 2'!B46=""),"",'Personnel Yr 2'!B46),"")</f>
        <v/>
      </c>
      <c r="C46" s="499" t="s">
        <v>445</v>
      </c>
      <c r="D46" s="500"/>
      <c r="E46" s="500"/>
      <c r="F46" s="500"/>
      <c r="G46" s="500"/>
      <c r="H46" s="500"/>
      <c r="I46" s="501"/>
      <c r="J46" s="423" t="str">
        <f>IF('Personnel Yr 1'!$K$5&gt;1,IF(OR(ISBLANK('Personnel Yr 1'!J46),'Personnel Yr 1'!J46=""),"",'Personnel Yr 1'!J46),"")</f>
        <v/>
      </c>
      <c r="K46" s="423" t="str">
        <f>IF('Personnel Yr 1'!$K$5&gt;1,IF(OR(ISBLANK('Personnel Yr 1'!K46),'Personnel Yr 1'!K46=""),"",'Personnel Yr 1'!K46),"")</f>
        <v/>
      </c>
      <c r="L46" s="423" t="str">
        <f>IF('Personnel Yr 1'!$K$5&gt;1,IF(OR(ISBLANK('Personnel Yr 1'!L46),'Personnel Yr 1'!L46=""),"",'Personnel Yr 1'!L46),"")</f>
        <v/>
      </c>
      <c r="M46" s="34" t="str">
        <f t="shared" si="8"/>
        <v/>
      </c>
      <c r="N46" s="34" t="str">
        <f>IF(M46="","",ROUND(M46*_xlfn.XLOOKUP("Temp",Ben,Per),2))</f>
        <v/>
      </c>
      <c r="O46" s="41" t="str">
        <f t="shared" si="9"/>
        <v/>
      </c>
      <c r="P46" s="268"/>
    </row>
    <row r="47" spans="1:26" x14ac:dyDescent="0.2">
      <c r="B47" s="15" t="str">
        <f>IF('Personnel Yr 1'!$K$5&gt;1,IF(OR(ISBLANK('Personnel Yr 2'!B47),'Personnel Yr 2'!B47=""),"",'Personnel Yr 2'!B47),"")</f>
        <v/>
      </c>
      <c r="C47" s="566" t="s">
        <v>407</v>
      </c>
      <c r="D47" s="520"/>
      <c r="E47" s="520"/>
      <c r="F47" s="520"/>
      <c r="G47" s="520"/>
      <c r="H47" s="520"/>
      <c r="I47" s="520"/>
      <c r="J47" s="423"/>
      <c r="K47" s="423"/>
      <c r="L47" s="423"/>
      <c r="M47" s="34" t="str">
        <f t="shared" si="8"/>
        <v/>
      </c>
      <c r="N47" s="34" t="str">
        <f>IF(M47="","",ROUND(M47*_xlfn.XLOOKUP("Temp",Ben,Per),2))</f>
        <v/>
      </c>
      <c r="O47" s="41" t="str">
        <f t="shared" si="9"/>
        <v/>
      </c>
      <c r="P47" s="268"/>
    </row>
    <row r="48" spans="1:26" ht="13.5" thickBot="1" x14ac:dyDescent="0.25">
      <c r="B48" s="189" t="str">
        <f>IF('Personnel Yr 1'!$K$5&gt;1,IF(OR(ISBLANK('Personnel Yr 2'!B48),'Personnel Yr 2'!B48=""),"",'Personnel Yr 2'!B48),"")</f>
        <v/>
      </c>
      <c r="C48" s="567" t="s">
        <v>408</v>
      </c>
      <c r="D48" s="522"/>
      <c r="E48" s="522"/>
      <c r="F48" s="522"/>
      <c r="G48" s="522"/>
      <c r="H48" s="522"/>
      <c r="I48" s="522"/>
      <c r="J48" s="424"/>
      <c r="K48" s="424"/>
      <c r="L48" s="424"/>
      <c r="M48" s="42" t="str">
        <f t="shared" si="8"/>
        <v/>
      </c>
      <c r="N48" s="42" t="str">
        <f>IF(M48="","",ROUND(M48*_xlfn.XLOOKUP("Adjunct",Ben,Per),2))</f>
        <v/>
      </c>
      <c r="O48" s="285" t="str">
        <f t="shared" si="9"/>
        <v/>
      </c>
      <c r="P48" s="284"/>
    </row>
    <row r="49" spans="1:17" ht="13.5" thickBot="1" x14ac:dyDescent="0.25">
      <c r="B49" s="20">
        <f>SUM(B39:B46)</f>
        <v>0</v>
      </c>
      <c r="C49" s="563" t="s">
        <v>8</v>
      </c>
      <c r="D49" s="540"/>
      <c r="E49" s="540"/>
      <c r="F49" s="540"/>
      <c r="G49" s="18"/>
      <c r="H49" s="18"/>
      <c r="I49" s="18"/>
      <c r="J49" s="543" t="s">
        <v>9</v>
      </c>
      <c r="K49" s="564"/>
      <c r="L49" s="564"/>
      <c r="M49" s="564"/>
      <c r="N49" s="565"/>
      <c r="O49" s="45">
        <f>ROUND(SUM(O39:O48),2)</f>
        <v>0</v>
      </c>
    </row>
    <row r="50" spans="1:17" ht="13.5" thickBot="1" x14ac:dyDescent="0.25">
      <c r="I50" s="8"/>
      <c r="J50" s="513" t="s">
        <v>10</v>
      </c>
      <c r="K50" s="513"/>
      <c r="L50" s="513"/>
      <c r="M50" s="513"/>
      <c r="N50" s="514"/>
      <c r="O50" s="38">
        <f>ROUND(SUM(O16,O49),2)</f>
        <v>0</v>
      </c>
    </row>
    <row r="51" spans="1:17" x14ac:dyDescent="0.2">
      <c r="B51" s="516" t="s">
        <v>525</v>
      </c>
      <c r="C51" s="516"/>
      <c r="D51" s="545" t="s">
        <v>577</v>
      </c>
      <c r="E51" s="546"/>
      <c r="F51" s="546"/>
      <c r="G51" s="546"/>
      <c r="H51" s="546"/>
      <c r="I51" s="546"/>
      <c r="J51" s="546"/>
      <c r="K51" s="546"/>
      <c r="L51" s="546"/>
    </row>
    <row r="52" spans="1:17" ht="26.25" thickBot="1" x14ac:dyDescent="0.25">
      <c r="B52" s="2" t="s">
        <v>0</v>
      </c>
      <c r="C52" s="2" t="s">
        <v>1</v>
      </c>
      <c r="D52" s="2" t="s">
        <v>2</v>
      </c>
      <c r="E52" s="2" t="s">
        <v>3</v>
      </c>
      <c r="F52" s="2" t="s">
        <v>4</v>
      </c>
      <c r="G52" s="2" t="s">
        <v>39</v>
      </c>
      <c r="H52" s="2"/>
      <c r="I52" s="2"/>
      <c r="J52" s="3" t="s">
        <v>56</v>
      </c>
      <c r="K52" s="3" t="s">
        <v>57</v>
      </c>
      <c r="L52" s="2" t="s">
        <v>58</v>
      </c>
      <c r="M52" s="2" t="s">
        <v>41</v>
      </c>
      <c r="N52" s="2" t="s">
        <v>42</v>
      </c>
      <c r="O52" s="2" t="s">
        <v>38</v>
      </c>
      <c r="P52" s="493" t="s">
        <v>240</v>
      </c>
      <c r="Q52" s="493"/>
    </row>
    <row r="53" spans="1:17" x14ac:dyDescent="0.2">
      <c r="A53" s="4">
        <v>1</v>
      </c>
      <c r="B53" s="21" t="str">
        <f>IF('Personnel Yr 1'!$K$5&gt;2,IF(ISBLANK('Personnel Yr 2'!B53),"",'Personnel Yr 2'!B53),"")</f>
        <v/>
      </c>
      <c r="C53" s="13" t="str">
        <f>IF('Personnel Yr 1'!$K$5&gt;2,IF(ISBLANK('Personnel Yr 2'!C53),"",'Personnel Yr 2'!C53),"")</f>
        <v/>
      </c>
      <c r="D53" s="13" t="str">
        <f>IF('Personnel Yr 1'!$K$5&gt;2,IF(ISBLANK('Personnel Yr 2'!D53),"",'Personnel Yr 2'!D53),"")</f>
        <v/>
      </c>
      <c r="E53" s="13" t="str">
        <f>IF('Personnel Yr 1'!$K$5&gt;2,IF(ISBLANK('Personnel Yr 2'!E53),"",'Personnel Yr 2'!E53),"")</f>
        <v/>
      </c>
      <c r="F53" s="13" t="str">
        <f>IF('Personnel Yr 1'!$K$5&gt;2,IF(ISBLANK('Personnel Yr 2'!F53),"",'Personnel Yr 2'!F53),"")</f>
        <v/>
      </c>
      <c r="G53" s="507" t="str">
        <f>IF('Personnel Yr 1'!$K$5&gt;2,IF(ISBLANK('Personnel Yr 2'!G53),"",'Personnel Yr 2'!G53),"")</f>
        <v/>
      </c>
      <c r="H53" s="508"/>
      <c r="I53" s="509"/>
      <c r="J53" s="13" t="str">
        <f>IF('Personnel Yr 1'!$K$5&gt;2,IF(AND(OR(ISBLANK($I53),$I53=""),ISBLANK('Personnel Yr 2'!J53)),"",'Personnel Yr 2'!J53),"")</f>
        <v/>
      </c>
      <c r="K53" s="13" t="str">
        <f>IF('Personnel Yr 1'!$K$5&gt;2,IF(AND(OR(ISBLANK($I53),$I53=""),ISBLANK('Personnel Yr 2'!K53)),"",'Personnel Yr 2'!K53),"")</f>
        <v/>
      </c>
      <c r="L53" s="13" t="str">
        <f>IF('Personnel Yr 1'!$K$5&gt;2,IF(AND(OR(ISBLANK($I53),$I53=""),ISBLANK('Personnel Yr 2'!L53)),"",'Personnel Yr 2'!L53),"")</f>
        <v/>
      </c>
      <c r="M53" s="204" t="str">
        <f>IF('Personnel Yr 1'!$K$5&gt;2,IF(AND(NOT(ISBLANK('Personnel Yr 2'!M53)),'Personnel Yr 2'!M53&lt;&gt;""),(('Personnel Yr 2'!M53*'Personnel Yr 1'!$D$5)+'Personnel Yr 2'!M53),""),"")</f>
        <v/>
      </c>
      <c r="N53" s="35" t="str">
        <f t="shared" ref="N53:N72" si="10">IF(M53="","",ROUND(M53*IF(G53="Graduate Assistants", _xlfn.XLOOKUP($I$43,Grad,GradR),_xlfn.XLOOKUP("*"&amp;G53&amp;"*",BenB,Per,,2)),2))</f>
        <v/>
      </c>
      <c r="O53" s="36" t="str">
        <f>IF(M53="","",ROUND(SUM(M53:N53),2))</f>
        <v/>
      </c>
      <c r="P53" s="12"/>
    </row>
    <row r="54" spans="1:17" x14ac:dyDescent="0.2">
      <c r="A54" s="4">
        <v>2</v>
      </c>
      <c r="B54" s="5" t="str">
        <f>IF('Personnel Yr 1'!$K$5&gt;2,IF(ISBLANK('Personnel Yr 2'!B54),"",'Personnel Yr 2'!B54),"")</f>
        <v/>
      </c>
      <c r="C54" s="17" t="str">
        <f>IF('Personnel Yr 1'!$K$5&gt;2,IF(ISBLANK('Personnel Yr 2'!C54),"",'Personnel Yr 2'!C54),"")</f>
        <v/>
      </c>
      <c r="D54" s="17" t="str">
        <f>IF('Personnel Yr 1'!$K$5&gt;2,IF(ISBLANK('Personnel Yr 2'!D54),"",'Personnel Yr 2'!D54),"")</f>
        <v/>
      </c>
      <c r="E54" s="17" t="str">
        <f>IF('Personnel Yr 1'!$K$5&gt;2,IF(ISBLANK('Personnel Yr 2'!E54),"",'Personnel Yr 2'!E54),"")</f>
        <v/>
      </c>
      <c r="F54" s="17" t="str">
        <f>IF('Personnel Yr 1'!$K$5&gt;2,IF(ISBLANK('Personnel Yr 2'!F54),"",'Personnel Yr 2'!F54),"")</f>
        <v/>
      </c>
      <c r="G54" s="483" t="str">
        <f>IF('Personnel Yr 1'!$K$5&gt;2,IF(ISBLANK('Personnel Yr 2'!G54),"",'Personnel Yr 2'!G54),"")</f>
        <v/>
      </c>
      <c r="H54" s="484"/>
      <c r="I54" s="485"/>
      <c r="J54" s="17" t="str">
        <f>IF('Personnel Yr 1'!$K$5&gt;2,IF(AND(OR(ISBLANK($I54),$I54=""),ISBLANK('Personnel Yr 2'!J54)),"",'Personnel Yr 2'!J54),"")</f>
        <v/>
      </c>
      <c r="K54" s="17" t="str">
        <f>IF('Personnel Yr 1'!$K$5&gt;2,IF(AND(OR(ISBLANK($I54),$I54=""),ISBLANK('Personnel Yr 2'!K54)),"",'Personnel Yr 2'!K54),"")</f>
        <v/>
      </c>
      <c r="L54" s="17" t="str">
        <f>IF('Personnel Yr 1'!$K$5&gt;2,IF(AND(OR(ISBLANK($I54),$I54=""),ISBLANK('Personnel Yr 2'!L54)),"",'Personnel Yr 2'!L54),"")</f>
        <v/>
      </c>
      <c r="M54" s="32" t="str">
        <f>IF('Personnel Yr 1'!$K$5&gt;2,IF(AND(NOT(ISBLANK('Personnel Yr 2'!M54)),'Personnel Yr 2'!M54&lt;&gt;""),(('Personnel Yr 2'!M54*'Personnel Yr 1'!$D$5)+'Personnel Yr 2'!M54),""),"")</f>
        <v/>
      </c>
      <c r="N54" s="34" t="str">
        <f t="shared" si="10"/>
        <v/>
      </c>
      <c r="O54" s="41" t="str">
        <f t="shared" ref="O54:O72" si="11">IF(M54="","",ROUND(SUM(M54:N54),2))</f>
        <v/>
      </c>
      <c r="P54" s="15"/>
    </row>
    <row r="55" spans="1:17" x14ac:dyDescent="0.2">
      <c r="A55" s="4">
        <v>3</v>
      </c>
      <c r="B55" s="5" t="str">
        <f>IF('Personnel Yr 1'!$K$5&gt;2,IF(ISBLANK('Personnel Yr 2'!B55),"",'Personnel Yr 2'!B55),"")</f>
        <v/>
      </c>
      <c r="C55" s="17" t="str">
        <f>IF('Personnel Yr 1'!$K$5&gt;2,IF(ISBLANK('Personnel Yr 2'!C55),"",'Personnel Yr 2'!C55),"")</f>
        <v/>
      </c>
      <c r="D55" s="17" t="str">
        <f>IF('Personnel Yr 1'!$K$5&gt;2,IF(ISBLANK('Personnel Yr 2'!D55),"",'Personnel Yr 2'!D55),"")</f>
        <v/>
      </c>
      <c r="E55" s="17" t="str">
        <f>IF('Personnel Yr 1'!$K$5&gt;2,IF(ISBLANK('Personnel Yr 2'!E55),"",'Personnel Yr 2'!E55),"")</f>
        <v/>
      </c>
      <c r="F55" s="17" t="str">
        <f>IF('Personnel Yr 1'!$K$5&gt;2,IF(ISBLANK('Personnel Yr 2'!F55),"",'Personnel Yr 2'!F55),"")</f>
        <v/>
      </c>
      <c r="G55" s="483" t="str">
        <f>IF('Personnel Yr 1'!$K$5&gt;2,IF(ISBLANK('Personnel Yr 2'!G55),"",'Personnel Yr 2'!G55),"")</f>
        <v/>
      </c>
      <c r="H55" s="484"/>
      <c r="I55" s="485"/>
      <c r="J55" s="17" t="str">
        <f>IF('Personnel Yr 1'!$K$5&gt;2,IF(AND(OR(ISBLANK($I55),$I55=""),ISBLANK('Personnel Yr 2'!J55)),"",'Personnel Yr 2'!J55),"")</f>
        <v/>
      </c>
      <c r="K55" s="17" t="str">
        <f>IF('Personnel Yr 1'!$K$5&gt;2,IF(AND(OR(ISBLANK($I55),$I55=""),ISBLANK('Personnel Yr 2'!K55)),"",'Personnel Yr 2'!K55),"")</f>
        <v/>
      </c>
      <c r="L55" s="17" t="str">
        <f>IF('Personnel Yr 1'!$K$5&gt;2,IF(AND(OR(ISBLANK($I55),$I55=""),ISBLANK('Personnel Yr 2'!L55)),"",'Personnel Yr 2'!L55),"")</f>
        <v/>
      </c>
      <c r="M55" s="32" t="str">
        <f>IF('Personnel Yr 1'!$K$5&gt;2,IF(AND(NOT(ISBLANK('Personnel Yr 2'!M55)),'Personnel Yr 2'!M55&lt;&gt;""),(('Personnel Yr 2'!M55*'Personnel Yr 1'!$D$5)+'Personnel Yr 2'!M55),""),"")</f>
        <v/>
      </c>
      <c r="N55" s="34" t="str">
        <f t="shared" si="10"/>
        <v/>
      </c>
      <c r="O55" s="41" t="str">
        <f t="shared" si="11"/>
        <v/>
      </c>
      <c r="P55" s="15"/>
    </row>
    <row r="56" spans="1:17" x14ac:dyDescent="0.2">
      <c r="A56" s="4">
        <v>4</v>
      </c>
      <c r="B56" s="5" t="str">
        <f>IF('Personnel Yr 1'!$K$5&gt;2,IF(ISBLANK('Personnel Yr 2'!B56),"",'Personnel Yr 2'!B56),"")</f>
        <v/>
      </c>
      <c r="C56" s="17" t="str">
        <f>IF('Personnel Yr 1'!$K$5&gt;2,IF(ISBLANK('Personnel Yr 2'!C56),"",'Personnel Yr 2'!C56),"")</f>
        <v/>
      </c>
      <c r="D56" s="17" t="str">
        <f>IF('Personnel Yr 1'!$K$5&gt;2,IF(ISBLANK('Personnel Yr 2'!D56),"",'Personnel Yr 2'!D56),"")</f>
        <v/>
      </c>
      <c r="E56" s="17" t="str">
        <f>IF('Personnel Yr 1'!$K$5&gt;2,IF(ISBLANK('Personnel Yr 2'!E56),"",'Personnel Yr 2'!E56),"")</f>
        <v/>
      </c>
      <c r="F56" s="17" t="str">
        <f>IF('Personnel Yr 1'!$K$5&gt;2,IF(ISBLANK('Personnel Yr 2'!F56),"",'Personnel Yr 2'!F56),"")</f>
        <v/>
      </c>
      <c r="G56" s="483" t="str">
        <f>IF('Personnel Yr 1'!$K$5&gt;2,IF(ISBLANK('Personnel Yr 2'!G56),"",'Personnel Yr 2'!G56),"")</f>
        <v/>
      </c>
      <c r="H56" s="484"/>
      <c r="I56" s="485"/>
      <c r="J56" s="17" t="str">
        <f>IF('Personnel Yr 1'!$K$5&gt;2,IF(AND(OR(ISBLANK($I56),$I56=""),ISBLANK('Personnel Yr 2'!J56)),"",'Personnel Yr 2'!J56),"")</f>
        <v/>
      </c>
      <c r="K56" s="17" t="str">
        <f>IF('Personnel Yr 1'!$K$5&gt;2,IF(AND(OR(ISBLANK($I56),$I56=""),ISBLANK('Personnel Yr 2'!K56)),"",'Personnel Yr 2'!K56),"")</f>
        <v/>
      </c>
      <c r="L56" s="17" t="str">
        <f>IF('Personnel Yr 1'!$K$5&gt;2,IF(AND(OR(ISBLANK($I56),$I56=""),ISBLANK('Personnel Yr 2'!L56)),"",'Personnel Yr 2'!L56),"")</f>
        <v/>
      </c>
      <c r="M56" s="32" t="str">
        <f>IF('Personnel Yr 1'!$K$5&gt;2,IF(AND(NOT(ISBLANK('Personnel Yr 2'!M56)),'Personnel Yr 2'!M56&lt;&gt;""),(('Personnel Yr 2'!M56*'Personnel Yr 1'!$D$5)+'Personnel Yr 2'!M56),""),"")</f>
        <v/>
      </c>
      <c r="N56" s="34" t="str">
        <f t="shared" si="10"/>
        <v/>
      </c>
      <c r="O56" s="41" t="str">
        <f t="shared" si="11"/>
        <v/>
      </c>
      <c r="P56" s="15"/>
    </row>
    <row r="57" spans="1:17" x14ac:dyDescent="0.2">
      <c r="A57" s="4">
        <v>5</v>
      </c>
      <c r="B57" s="5" t="str">
        <f>IF('Personnel Yr 1'!$K$5&gt;2,IF(ISBLANK('Personnel Yr 2'!B57),"",'Personnel Yr 2'!B57),"")</f>
        <v/>
      </c>
      <c r="C57" s="17" t="str">
        <f>IF('Personnel Yr 1'!$K$5&gt;2,IF(ISBLANK('Personnel Yr 2'!C57),"",'Personnel Yr 2'!C57),"")</f>
        <v/>
      </c>
      <c r="D57" s="17" t="str">
        <f>IF('Personnel Yr 1'!$K$5&gt;2,IF(ISBLANK('Personnel Yr 2'!D57),"",'Personnel Yr 2'!D57),"")</f>
        <v/>
      </c>
      <c r="E57" s="17" t="str">
        <f>IF('Personnel Yr 1'!$K$5&gt;2,IF(ISBLANK('Personnel Yr 2'!E57),"",'Personnel Yr 2'!E57),"")</f>
        <v/>
      </c>
      <c r="F57" s="17" t="str">
        <f>IF('Personnel Yr 1'!$K$5&gt;2,IF(ISBLANK('Personnel Yr 2'!F57),"",'Personnel Yr 2'!F57),"")</f>
        <v/>
      </c>
      <c r="G57" s="483" t="str">
        <f>IF('Personnel Yr 1'!$K$5&gt;2,IF(ISBLANK('Personnel Yr 2'!G57),"",'Personnel Yr 2'!G57),"")</f>
        <v/>
      </c>
      <c r="H57" s="484"/>
      <c r="I57" s="485"/>
      <c r="J57" s="17" t="str">
        <f>IF('Personnel Yr 1'!$K$5&gt;2,IF(AND(OR(ISBLANK($I57),$I57=""),ISBLANK('Personnel Yr 2'!J57)),"",'Personnel Yr 2'!J57),"")</f>
        <v/>
      </c>
      <c r="K57" s="17" t="str">
        <f>IF('Personnel Yr 1'!$K$5&gt;2,IF(AND(OR(ISBLANK($I57),$I57=""),ISBLANK('Personnel Yr 2'!K57)),"",'Personnel Yr 2'!K57),"")</f>
        <v/>
      </c>
      <c r="L57" s="17" t="str">
        <f>IF('Personnel Yr 1'!$K$5&gt;2,IF(AND(OR(ISBLANK($I57),$I57=""),ISBLANK('Personnel Yr 2'!L57)),"",'Personnel Yr 2'!L57),"")</f>
        <v/>
      </c>
      <c r="M57" s="32" t="str">
        <f>IF('Personnel Yr 1'!$K$5&gt;2,IF(AND(NOT(ISBLANK('Personnel Yr 2'!M57)),'Personnel Yr 2'!M57&lt;&gt;""),(('Personnel Yr 2'!M57*'Personnel Yr 1'!$D$5)+'Personnel Yr 2'!M57),""),"")</f>
        <v/>
      </c>
      <c r="N57" s="34" t="str">
        <f t="shared" si="10"/>
        <v/>
      </c>
      <c r="O57" s="41" t="str">
        <f t="shared" si="11"/>
        <v/>
      </c>
      <c r="P57" s="15"/>
    </row>
    <row r="58" spans="1:17" x14ac:dyDescent="0.2">
      <c r="A58" s="4">
        <v>6</v>
      </c>
      <c r="B58" s="5" t="str">
        <f>IF('Personnel Yr 1'!$K$5&gt;2,IF(ISBLANK('Personnel Yr 2'!B58),"",'Personnel Yr 2'!B58),"")</f>
        <v/>
      </c>
      <c r="C58" s="17" t="str">
        <f>IF('Personnel Yr 1'!$K$5&gt;2,IF(ISBLANK('Personnel Yr 2'!C58),"",'Personnel Yr 2'!C58),"")</f>
        <v/>
      </c>
      <c r="D58" s="17" t="str">
        <f>IF('Personnel Yr 1'!$K$5&gt;2,IF(ISBLANK('Personnel Yr 2'!D58),"",'Personnel Yr 2'!D58),"")</f>
        <v/>
      </c>
      <c r="E58" s="17" t="str">
        <f>IF('Personnel Yr 1'!$K$5&gt;2,IF(ISBLANK('Personnel Yr 2'!E58),"",'Personnel Yr 2'!E58),"")</f>
        <v/>
      </c>
      <c r="F58" s="17" t="str">
        <f>IF('Personnel Yr 1'!$K$5&gt;2,IF(ISBLANK('Personnel Yr 2'!F58),"",'Personnel Yr 2'!F58),"")</f>
        <v/>
      </c>
      <c r="G58" s="483" t="str">
        <f>IF('Personnel Yr 1'!$K$5&gt;2,IF(ISBLANK('Personnel Yr 2'!G58),"",'Personnel Yr 2'!G58),"")</f>
        <v/>
      </c>
      <c r="H58" s="484"/>
      <c r="I58" s="485"/>
      <c r="J58" s="17" t="str">
        <f>IF('Personnel Yr 1'!$K$5&gt;2,IF(AND(OR(ISBLANK($I58),$I58=""),ISBLANK('Personnel Yr 2'!J58)),"",'Personnel Yr 2'!J58),"")</f>
        <v/>
      </c>
      <c r="K58" s="17" t="str">
        <f>IF('Personnel Yr 1'!$K$5&gt;2,IF(AND(OR(ISBLANK($I58),$I58=""),ISBLANK('Personnel Yr 2'!K58)),"",'Personnel Yr 2'!K58),"")</f>
        <v/>
      </c>
      <c r="L58" s="17" t="str">
        <f>IF('Personnel Yr 1'!$K$5&gt;2,IF(AND(OR(ISBLANK($I58),$I58=""),ISBLANK('Personnel Yr 2'!L58)),"",'Personnel Yr 2'!L58),"")</f>
        <v/>
      </c>
      <c r="M58" s="32" t="str">
        <f>IF('Personnel Yr 1'!$K$5&gt;2,IF(AND(NOT(ISBLANK('Personnel Yr 2'!M58)),'Personnel Yr 2'!M58&lt;&gt;""),(('Personnel Yr 2'!M58*'Personnel Yr 1'!$D$5)+'Personnel Yr 2'!M58),""),"")</f>
        <v/>
      </c>
      <c r="N58" s="34" t="str">
        <f t="shared" si="10"/>
        <v/>
      </c>
      <c r="O58" s="41" t="str">
        <f t="shared" si="11"/>
        <v/>
      </c>
      <c r="P58" s="15"/>
    </row>
    <row r="59" spans="1:17" x14ac:dyDescent="0.2">
      <c r="A59" s="4">
        <v>7</v>
      </c>
      <c r="B59" s="5" t="str">
        <f>IF('Personnel Yr 1'!$K$5&gt;2,IF(ISBLANK('Personnel Yr 2'!B59),"",'Personnel Yr 2'!B59),"")</f>
        <v/>
      </c>
      <c r="C59" s="17" t="str">
        <f>IF('Personnel Yr 1'!$K$5&gt;2,IF(ISBLANK('Personnel Yr 2'!C59),"",'Personnel Yr 2'!C59),"")</f>
        <v/>
      </c>
      <c r="D59" s="17" t="str">
        <f>IF('Personnel Yr 1'!$K$5&gt;2,IF(ISBLANK('Personnel Yr 2'!D59),"",'Personnel Yr 2'!D59),"")</f>
        <v/>
      </c>
      <c r="E59" s="17" t="str">
        <f>IF('Personnel Yr 1'!$K$5&gt;2,IF(ISBLANK('Personnel Yr 2'!E59),"",'Personnel Yr 2'!E59),"")</f>
        <v/>
      </c>
      <c r="F59" s="17" t="str">
        <f>IF('Personnel Yr 1'!$K$5&gt;2,IF(ISBLANK('Personnel Yr 2'!F59),"",'Personnel Yr 2'!F59),"")</f>
        <v/>
      </c>
      <c r="G59" s="483" t="str">
        <f>IF('Personnel Yr 1'!$K$5&gt;2,IF(ISBLANK('Personnel Yr 2'!G59),"",'Personnel Yr 2'!G59),"")</f>
        <v/>
      </c>
      <c r="H59" s="484"/>
      <c r="I59" s="485"/>
      <c r="J59" s="17" t="str">
        <f>IF('Personnel Yr 1'!$K$5&gt;2,IF(AND(OR(ISBLANK($I59),$I59=""),ISBLANK('Personnel Yr 2'!J59)),"",'Personnel Yr 2'!J59),"")</f>
        <v/>
      </c>
      <c r="K59" s="17" t="str">
        <f>IF('Personnel Yr 1'!$K$5&gt;2,IF(AND(OR(ISBLANK($I59),$I59=""),ISBLANK('Personnel Yr 2'!K59)),"",'Personnel Yr 2'!K59),"")</f>
        <v/>
      </c>
      <c r="L59" s="17" t="str">
        <f>IF('Personnel Yr 1'!$K$5&gt;2,IF(AND(OR(ISBLANK($I59),$I59=""),ISBLANK('Personnel Yr 2'!L59)),"",'Personnel Yr 2'!L59),"")</f>
        <v/>
      </c>
      <c r="M59" s="32" t="str">
        <f>IF('Personnel Yr 1'!$K$5&gt;2,IF(AND(NOT(ISBLANK('Personnel Yr 2'!M59)),'Personnel Yr 2'!M59&lt;&gt;""),(('Personnel Yr 2'!M59*'Personnel Yr 1'!$D$5)+'Personnel Yr 2'!M59),""),"")</f>
        <v/>
      </c>
      <c r="N59" s="34" t="str">
        <f t="shared" si="10"/>
        <v/>
      </c>
      <c r="O59" s="41" t="str">
        <f t="shared" si="11"/>
        <v/>
      </c>
      <c r="P59" s="15"/>
    </row>
    <row r="60" spans="1:17" x14ac:dyDescent="0.2">
      <c r="A60" s="4">
        <v>8</v>
      </c>
      <c r="B60" s="5" t="str">
        <f>IF('Personnel Yr 1'!$K$5&gt;2,IF(ISBLANK('Personnel Yr 2'!B60),"",'Personnel Yr 2'!B60),"")</f>
        <v/>
      </c>
      <c r="C60" s="17" t="str">
        <f>IF('Personnel Yr 1'!$K$5&gt;2,IF(ISBLANK('Personnel Yr 2'!C60),"",'Personnel Yr 2'!C60),"")</f>
        <v/>
      </c>
      <c r="D60" s="17" t="str">
        <f>IF('Personnel Yr 1'!$K$5&gt;2,IF(ISBLANK('Personnel Yr 2'!D60),"",'Personnel Yr 2'!D60),"")</f>
        <v/>
      </c>
      <c r="E60" s="17" t="str">
        <f>IF('Personnel Yr 1'!$K$5&gt;2,IF(ISBLANK('Personnel Yr 2'!E60),"",'Personnel Yr 2'!E60),"")</f>
        <v/>
      </c>
      <c r="F60" s="17" t="str">
        <f>IF('Personnel Yr 1'!$K$5&gt;2,IF(ISBLANK('Personnel Yr 2'!F60),"",'Personnel Yr 2'!F60),"")</f>
        <v/>
      </c>
      <c r="G60" s="483" t="str">
        <f>IF('Personnel Yr 1'!$K$5&gt;2,IF(ISBLANK('Personnel Yr 2'!G60),"",'Personnel Yr 2'!G60),"")</f>
        <v/>
      </c>
      <c r="H60" s="484"/>
      <c r="I60" s="485"/>
      <c r="J60" s="17" t="str">
        <f>IF('Personnel Yr 1'!$K$5&gt;2,IF(AND(OR(ISBLANK($I60),$I60=""),ISBLANK('Personnel Yr 2'!J60)),"",'Personnel Yr 2'!J60),"")</f>
        <v/>
      </c>
      <c r="K60" s="17" t="str">
        <f>IF('Personnel Yr 1'!$K$5&gt;2,IF(AND(OR(ISBLANK($I60),$I60=""),ISBLANK('Personnel Yr 2'!K60)),"",'Personnel Yr 2'!K60),"")</f>
        <v/>
      </c>
      <c r="L60" s="17" t="str">
        <f>IF('Personnel Yr 1'!$K$5&gt;2,IF(AND(OR(ISBLANK($I60),$I60=""),ISBLANK('Personnel Yr 2'!L60)),"",'Personnel Yr 2'!L60),"")</f>
        <v/>
      </c>
      <c r="M60" s="32" t="str">
        <f>IF('Personnel Yr 1'!$K$5&gt;2,IF(AND(NOT(ISBLANK('Personnel Yr 2'!M60)),'Personnel Yr 2'!M60&lt;&gt;""),(('Personnel Yr 2'!M60*'Personnel Yr 1'!$D$5)+'Personnel Yr 2'!M60),""),"")</f>
        <v/>
      </c>
      <c r="N60" s="34" t="str">
        <f t="shared" si="10"/>
        <v/>
      </c>
      <c r="O60" s="41" t="str">
        <f t="shared" si="11"/>
        <v/>
      </c>
      <c r="P60" s="15"/>
    </row>
    <row r="61" spans="1:17" x14ac:dyDescent="0.2">
      <c r="A61" s="4">
        <v>9</v>
      </c>
      <c r="B61" s="5" t="str">
        <f>IF('Personnel Yr 1'!$K$5&gt;2,IF(ISBLANK('Personnel Yr 2'!B61),"",'Personnel Yr 2'!B61),"")</f>
        <v/>
      </c>
      <c r="C61" s="17" t="str">
        <f>IF('Personnel Yr 1'!$K$5&gt;2,IF(ISBLANK('Personnel Yr 2'!C61),"",'Personnel Yr 2'!C61),"")</f>
        <v/>
      </c>
      <c r="D61" s="17" t="str">
        <f>IF('Personnel Yr 1'!$K$5&gt;2,IF(ISBLANK('Personnel Yr 2'!D61),"",'Personnel Yr 2'!D61),"")</f>
        <v/>
      </c>
      <c r="E61" s="17" t="str">
        <f>IF('Personnel Yr 1'!$K$5&gt;2,IF(ISBLANK('Personnel Yr 2'!E61),"",'Personnel Yr 2'!E61),"")</f>
        <v/>
      </c>
      <c r="F61" s="17" t="str">
        <f>IF('Personnel Yr 1'!$K$5&gt;2,IF(ISBLANK('Personnel Yr 2'!F61),"",'Personnel Yr 2'!F61),"")</f>
        <v/>
      </c>
      <c r="G61" s="483" t="str">
        <f>IF('Personnel Yr 1'!$K$5&gt;2,IF(ISBLANK('Personnel Yr 2'!G61),"",'Personnel Yr 2'!G61),"")</f>
        <v/>
      </c>
      <c r="H61" s="484"/>
      <c r="I61" s="485"/>
      <c r="J61" s="17" t="str">
        <f>IF('Personnel Yr 1'!$K$5&gt;2,IF(AND(OR(ISBLANK($I61),$I61=""),ISBLANK('Personnel Yr 2'!J61)),"",'Personnel Yr 2'!J61),"")</f>
        <v/>
      </c>
      <c r="K61" s="17" t="str">
        <f>IF('Personnel Yr 1'!$K$5&gt;2,IF(AND(OR(ISBLANK($I61),$I61=""),ISBLANK('Personnel Yr 2'!K61)),"",'Personnel Yr 2'!K61),"")</f>
        <v/>
      </c>
      <c r="L61" s="17" t="str">
        <f>IF('Personnel Yr 1'!$K$5&gt;2,IF(AND(OR(ISBLANK($I61),$I61=""),ISBLANK('Personnel Yr 2'!L61)),"",'Personnel Yr 2'!L61),"")</f>
        <v/>
      </c>
      <c r="M61" s="32" t="str">
        <f>IF('Personnel Yr 1'!$K$5&gt;2,IF(AND(NOT(ISBLANK('Personnel Yr 2'!M61)),'Personnel Yr 2'!M61&lt;&gt;""),(('Personnel Yr 2'!M61*'Personnel Yr 1'!$D$5)+'Personnel Yr 2'!M61),""),"")</f>
        <v/>
      </c>
      <c r="N61" s="34" t="str">
        <f t="shared" si="10"/>
        <v/>
      </c>
      <c r="O61" s="41" t="str">
        <f t="shared" si="11"/>
        <v/>
      </c>
      <c r="P61" s="15"/>
    </row>
    <row r="62" spans="1:17" x14ac:dyDescent="0.2">
      <c r="A62" s="4">
        <v>10</v>
      </c>
      <c r="B62" s="5" t="str">
        <f>IF('Personnel Yr 1'!$K$5&gt;2,IF(ISBLANK('Personnel Yr 2'!B62),"",'Personnel Yr 2'!B62),"")</f>
        <v/>
      </c>
      <c r="C62" s="17" t="str">
        <f>IF('Personnel Yr 1'!$K$5&gt;2,IF(ISBLANK('Personnel Yr 2'!C62),"",'Personnel Yr 2'!C62),"")</f>
        <v/>
      </c>
      <c r="D62" s="17" t="str">
        <f>IF('Personnel Yr 1'!$K$5&gt;2,IF(ISBLANK('Personnel Yr 2'!D62),"",'Personnel Yr 2'!D62),"")</f>
        <v/>
      </c>
      <c r="E62" s="17" t="str">
        <f>IF('Personnel Yr 1'!$K$5&gt;2,IF(ISBLANK('Personnel Yr 2'!E62),"",'Personnel Yr 2'!E62),"")</f>
        <v/>
      </c>
      <c r="F62" s="17" t="str">
        <f>IF('Personnel Yr 1'!$K$5&gt;2,IF(ISBLANK('Personnel Yr 2'!F62),"",'Personnel Yr 2'!F62),"")</f>
        <v/>
      </c>
      <c r="G62" s="483" t="str">
        <f>IF('Personnel Yr 1'!$K$5&gt;2,IF(ISBLANK('Personnel Yr 2'!G62),"",'Personnel Yr 2'!G62),"")</f>
        <v/>
      </c>
      <c r="H62" s="484"/>
      <c r="I62" s="485"/>
      <c r="J62" s="17" t="str">
        <f>IF('Personnel Yr 1'!$K$5&gt;2,IF(AND(OR(ISBLANK($I62),$I62=""),ISBLANK('Personnel Yr 2'!J62)),"",'Personnel Yr 2'!J62),"")</f>
        <v/>
      </c>
      <c r="K62" s="17" t="str">
        <f>IF('Personnel Yr 1'!$K$5&gt;2,IF(AND(OR(ISBLANK($I62),$I62=""),ISBLANK('Personnel Yr 2'!K62)),"",'Personnel Yr 2'!K62),"")</f>
        <v/>
      </c>
      <c r="L62" s="17" t="str">
        <f>IF('Personnel Yr 1'!$K$5&gt;2,IF(AND(OR(ISBLANK($I62),$I62=""),ISBLANK('Personnel Yr 2'!L62)),"",'Personnel Yr 2'!L62),"")</f>
        <v/>
      </c>
      <c r="M62" s="32" t="str">
        <f>IF('Personnel Yr 1'!$K$5&gt;2,IF(AND(NOT(ISBLANK('Personnel Yr 2'!M62)),'Personnel Yr 2'!M62&lt;&gt;""),(('Personnel Yr 2'!M62*'Personnel Yr 1'!$D$5)+'Personnel Yr 2'!M62),""),"")</f>
        <v/>
      </c>
      <c r="N62" s="34" t="str">
        <f t="shared" si="10"/>
        <v/>
      </c>
      <c r="O62" s="41" t="str">
        <f t="shared" si="11"/>
        <v/>
      </c>
      <c r="P62" s="15"/>
    </row>
    <row r="63" spans="1:17" x14ac:dyDescent="0.2">
      <c r="A63" s="4">
        <v>11</v>
      </c>
      <c r="B63" s="5" t="str">
        <f>IF('Personnel Yr 1'!$K$5&gt;2,IF(ISBLANK('Personnel Yr 2'!B63),"",'Personnel Yr 2'!B63),"")</f>
        <v/>
      </c>
      <c r="C63" s="17" t="str">
        <f>IF('Personnel Yr 1'!$K$5&gt;2,IF(ISBLANK('Personnel Yr 2'!C63),"",'Personnel Yr 2'!C63),"")</f>
        <v/>
      </c>
      <c r="D63" s="17" t="str">
        <f>IF('Personnel Yr 1'!$K$5&gt;2,IF(ISBLANK('Personnel Yr 2'!D63),"",'Personnel Yr 2'!D63),"")</f>
        <v/>
      </c>
      <c r="E63" s="17" t="str">
        <f>IF('Personnel Yr 1'!$K$5&gt;2,IF(ISBLANK('Personnel Yr 2'!E63),"",'Personnel Yr 2'!E63),"")</f>
        <v/>
      </c>
      <c r="F63" s="17" t="str">
        <f>IF('Personnel Yr 1'!$K$5&gt;2,IF(ISBLANK('Personnel Yr 2'!F63),"",'Personnel Yr 2'!F63),"")</f>
        <v/>
      </c>
      <c r="G63" s="483" t="str">
        <f>IF('Personnel Yr 1'!$K$5&gt;2,IF(ISBLANK('Personnel Yr 2'!G63),"",'Personnel Yr 2'!G63),"")</f>
        <v/>
      </c>
      <c r="H63" s="484"/>
      <c r="I63" s="485"/>
      <c r="J63" s="17" t="str">
        <f>IF('Personnel Yr 1'!$K$5&gt;2,IF(AND(OR(ISBLANK($I63),$I63=""),ISBLANK('Personnel Yr 2'!J63)),"",'Personnel Yr 2'!J63),"")</f>
        <v/>
      </c>
      <c r="K63" s="17" t="str">
        <f>IF('Personnel Yr 1'!$K$5&gt;2,IF(AND(OR(ISBLANK($I63),$I63=""),ISBLANK('Personnel Yr 2'!K63)),"",'Personnel Yr 2'!K63),"")</f>
        <v/>
      </c>
      <c r="L63" s="17" t="str">
        <f>IF('Personnel Yr 1'!$K$5&gt;2,IF(AND(OR(ISBLANK($I63),$I63=""),ISBLANK('Personnel Yr 2'!L63)),"",'Personnel Yr 2'!L63),"")</f>
        <v/>
      </c>
      <c r="M63" s="32" t="str">
        <f>IF('Personnel Yr 1'!$K$5&gt;2,IF(AND(NOT(ISBLANK('Personnel Yr 2'!M63)),'Personnel Yr 2'!M63&lt;&gt;""),(('Personnel Yr 2'!M63*'Personnel Yr 1'!$D$5)+'Personnel Yr 2'!M63),""),"")</f>
        <v/>
      </c>
      <c r="N63" s="34" t="str">
        <f t="shared" si="10"/>
        <v/>
      </c>
      <c r="O63" s="41" t="str">
        <f t="shared" si="11"/>
        <v/>
      </c>
      <c r="P63" s="15"/>
    </row>
    <row r="64" spans="1:17" x14ac:dyDescent="0.2">
      <c r="A64" s="4">
        <v>12</v>
      </c>
      <c r="B64" s="5" t="str">
        <f>IF('Personnel Yr 1'!$K$5&gt;2,IF(ISBLANK('Personnel Yr 2'!B64),"",'Personnel Yr 2'!B64),"")</f>
        <v/>
      </c>
      <c r="C64" s="17" t="str">
        <f>IF('Personnel Yr 1'!$K$5&gt;2,IF(ISBLANK('Personnel Yr 2'!C64),"",'Personnel Yr 2'!C64),"")</f>
        <v/>
      </c>
      <c r="D64" s="17" t="str">
        <f>IF('Personnel Yr 1'!$K$5&gt;2,IF(ISBLANK('Personnel Yr 2'!D64),"",'Personnel Yr 2'!D64),"")</f>
        <v/>
      </c>
      <c r="E64" s="17" t="str">
        <f>IF('Personnel Yr 1'!$K$5&gt;2,IF(ISBLANK('Personnel Yr 2'!E64),"",'Personnel Yr 2'!E64),"")</f>
        <v/>
      </c>
      <c r="F64" s="17" t="str">
        <f>IF('Personnel Yr 1'!$K$5&gt;2,IF(ISBLANK('Personnel Yr 2'!F64),"",'Personnel Yr 2'!F64),"")</f>
        <v/>
      </c>
      <c r="G64" s="483" t="str">
        <f>IF('Personnel Yr 1'!$K$5&gt;2,IF(ISBLANK('Personnel Yr 2'!G64),"",'Personnel Yr 2'!G64),"")</f>
        <v/>
      </c>
      <c r="H64" s="484"/>
      <c r="I64" s="485"/>
      <c r="J64" s="17" t="str">
        <f>IF('Personnel Yr 1'!$K$5&gt;2,IF(AND(OR(ISBLANK($I64),$I64=""),ISBLANK('Personnel Yr 2'!J64)),"",'Personnel Yr 2'!J64),"")</f>
        <v/>
      </c>
      <c r="K64" s="17" t="str">
        <f>IF('Personnel Yr 1'!$K$5&gt;2,IF(AND(OR(ISBLANK($I64),$I64=""),ISBLANK('Personnel Yr 2'!K64)),"",'Personnel Yr 2'!K64),"")</f>
        <v/>
      </c>
      <c r="L64" s="17" t="str">
        <f>IF('Personnel Yr 1'!$K$5&gt;2,IF(AND(OR(ISBLANK($I64),$I64=""),ISBLANK('Personnel Yr 2'!L64)),"",'Personnel Yr 2'!L64),"")</f>
        <v/>
      </c>
      <c r="M64" s="32" t="str">
        <f>IF('Personnel Yr 1'!$K$5&gt;2,IF(AND(NOT(ISBLANK('Personnel Yr 2'!M64)),'Personnel Yr 2'!M64&lt;&gt;""),(('Personnel Yr 2'!M64*'Personnel Yr 1'!$D$5)+'Personnel Yr 2'!M64),""),"")</f>
        <v/>
      </c>
      <c r="N64" s="34" t="str">
        <f t="shared" si="10"/>
        <v/>
      </c>
      <c r="O64" s="41" t="str">
        <f t="shared" si="11"/>
        <v/>
      </c>
      <c r="P64" s="15"/>
    </row>
    <row r="65" spans="1:16" x14ac:dyDescent="0.2">
      <c r="A65" s="4">
        <v>13</v>
      </c>
      <c r="B65" s="5" t="str">
        <f>IF('Personnel Yr 1'!$K$5&gt;2,IF(ISBLANK('Personnel Yr 2'!B65),"",'Personnel Yr 2'!B65),"")</f>
        <v/>
      </c>
      <c r="C65" s="17" t="str">
        <f>IF('Personnel Yr 1'!$K$5&gt;2,IF(ISBLANK('Personnel Yr 2'!C65),"",'Personnel Yr 2'!C65),"")</f>
        <v/>
      </c>
      <c r="D65" s="17" t="str">
        <f>IF('Personnel Yr 1'!$K$5&gt;2,IF(ISBLANK('Personnel Yr 2'!D65),"",'Personnel Yr 2'!D65),"")</f>
        <v/>
      </c>
      <c r="E65" s="17" t="str">
        <f>IF('Personnel Yr 1'!$K$5&gt;2,IF(ISBLANK('Personnel Yr 2'!E65),"",'Personnel Yr 2'!E65),"")</f>
        <v/>
      </c>
      <c r="F65" s="17" t="str">
        <f>IF('Personnel Yr 1'!$K$5&gt;2,IF(ISBLANK('Personnel Yr 2'!F65),"",'Personnel Yr 2'!F65),"")</f>
        <v/>
      </c>
      <c r="G65" s="483" t="str">
        <f>IF('Personnel Yr 1'!$K$5&gt;2,IF(ISBLANK('Personnel Yr 2'!G65),"",'Personnel Yr 2'!G65),"")</f>
        <v/>
      </c>
      <c r="H65" s="484"/>
      <c r="I65" s="485"/>
      <c r="J65" s="17" t="str">
        <f>IF('Personnel Yr 1'!$K$5&gt;2,IF(AND(OR(ISBLANK($I65),$I65=""),ISBLANK('Personnel Yr 2'!J65)),"",'Personnel Yr 2'!J65),"")</f>
        <v/>
      </c>
      <c r="K65" s="17" t="str">
        <f>IF('Personnel Yr 1'!$K$5&gt;2,IF(AND(OR(ISBLANK($I65),$I65=""),ISBLANK('Personnel Yr 2'!K65)),"",'Personnel Yr 2'!K65),"")</f>
        <v/>
      </c>
      <c r="L65" s="17" t="str">
        <f>IF('Personnel Yr 1'!$K$5&gt;2,IF(AND(OR(ISBLANK($I65),$I65=""),ISBLANK('Personnel Yr 2'!L65)),"",'Personnel Yr 2'!L65),"")</f>
        <v/>
      </c>
      <c r="M65" s="32" t="str">
        <f>IF('Personnel Yr 1'!$K$5&gt;2,IF(AND(NOT(ISBLANK('Personnel Yr 2'!M65)),'Personnel Yr 2'!M65&lt;&gt;""),(('Personnel Yr 2'!M65*'Personnel Yr 1'!$D$5)+'Personnel Yr 2'!M65),""),"")</f>
        <v/>
      </c>
      <c r="N65" s="34" t="str">
        <f t="shared" si="10"/>
        <v/>
      </c>
      <c r="O65" s="41" t="str">
        <f t="shared" si="11"/>
        <v/>
      </c>
      <c r="P65" s="15"/>
    </row>
    <row r="66" spans="1:16" x14ac:dyDescent="0.2">
      <c r="A66" s="4">
        <v>14</v>
      </c>
      <c r="B66" s="5" t="str">
        <f>IF('Personnel Yr 1'!$K$5&gt;2,IF(ISBLANK('Personnel Yr 2'!B66),"",'Personnel Yr 2'!B66),"")</f>
        <v/>
      </c>
      <c r="C66" s="17" t="str">
        <f>IF('Personnel Yr 1'!$K$5&gt;2,IF(ISBLANK('Personnel Yr 2'!C66),"",'Personnel Yr 2'!C66),"")</f>
        <v/>
      </c>
      <c r="D66" s="17" t="str">
        <f>IF('Personnel Yr 1'!$K$5&gt;2,IF(ISBLANK('Personnel Yr 2'!D66),"",'Personnel Yr 2'!D66),"")</f>
        <v/>
      </c>
      <c r="E66" s="17" t="str">
        <f>IF('Personnel Yr 1'!$K$5&gt;2,IF(ISBLANK('Personnel Yr 2'!E66),"",'Personnel Yr 2'!E66),"")</f>
        <v/>
      </c>
      <c r="F66" s="17" t="str">
        <f>IF('Personnel Yr 1'!$K$5&gt;2,IF(ISBLANK('Personnel Yr 2'!F66),"",'Personnel Yr 2'!F66),"")</f>
        <v/>
      </c>
      <c r="G66" s="483" t="str">
        <f>IF('Personnel Yr 1'!$K$5&gt;2,IF(ISBLANK('Personnel Yr 2'!G66),"",'Personnel Yr 2'!G66),"")</f>
        <v/>
      </c>
      <c r="H66" s="484"/>
      <c r="I66" s="485"/>
      <c r="J66" s="17" t="str">
        <f>IF('Personnel Yr 1'!$K$5&gt;2,IF(AND(OR(ISBLANK($I66),$I66=""),ISBLANK('Personnel Yr 2'!J66)),"",'Personnel Yr 2'!J66),"")</f>
        <v/>
      </c>
      <c r="K66" s="17" t="str">
        <f>IF('Personnel Yr 1'!$K$5&gt;2,IF(AND(OR(ISBLANK($I66),$I66=""),ISBLANK('Personnel Yr 2'!K66)),"",'Personnel Yr 2'!K66),"")</f>
        <v/>
      </c>
      <c r="L66" s="17" t="str">
        <f>IF('Personnel Yr 1'!$K$5&gt;2,IF(AND(OR(ISBLANK($I66),$I66=""),ISBLANK('Personnel Yr 2'!L66)),"",'Personnel Yr 2'!L66),"")</f>
        <v/>
      </c>
      <c r="M66" s="32" t="str">
        <f>IF('Personnel Yr 1'!$K$5&gt;2,IF(AND(NOT(ISBLANK('Personnel Yr 2'!M66)),'Personnel Yr 2'!M66&lt;&gt;""),(('Personnel Yr 2'!M66*'Personnel Yr 1'!$D$5)+'Personnel Yr 2'!M66),""),"")</f>
        <v/>
      </c>
      <c r="N66" s="34" t="str">
        <f t="shared" si="10"/>
        <v/>
      </c>
      <c r="O66" s="41" t="str">
        <f t="shared" si="11"/>
        <v/>
      </c>
      <c r="P66" s="15"/>
    </row>
    <row r="67" spans="1:16" x14ac:dyDescent="0.2">
      <c r="A67" s="4">
        <v>15</v>
      </c>
      <c r="B67" s="5" t="str">
        <f>IF('Personnel Yr 1'!$K$5&gt;2,IF(ISBLANK('Personnel Yr 2'!B67),"",'Personnel Yr 2'!B67),"")</f>
        <v/>
      </c>
      <c r="C67" s="17" t="str">
        <f>IF('Personnel Yr 1'!$K$5&gt;2,IF(ISBLANK('Personnel Yr 2'!C67),"",'Personnel Yr 2'!C67),"")</f>
        <v/>
      </c>
      <c r="D67" s="17" t="str">
        <f>IF('Personnel Yr 1'!$K$5&gt;2,IF(ISBLANK('Personnel Yr 2'!D67),"",'Personnel Yr 2'!D67),"")</f>
        <v/>
      </c>
      <c r="E67" s="17" t="str">
        <f>IF('Personnel Yr 1'!$K$5&gt;2,IF(ISBLANK('Personnel Yr 2'!E67),"",'Personnel Yr 2'!E67),"")</f>
        <v/>
      </c>
      <c r="F67" s="17" t="str">
        <f>IF('Personnel Yr 1'!$K$5&gt;2,IF(ISBLANK('Personnel Yr 2'!F67),"",'Personnel Yr 2'!F67),"")</f>
        <v/>
      </c>
      <c r="G67" s="483" t="str">
        <f>IF('Personnel Yr 1'!$K$5&gt;2,IF(ISBLANK('Personnel Yr 2'!G67),"",'Personnel Yr 2'!G67),"")</f>
        <v/>
      </c>
      <c r="H67" s="484"/>
      <c r="I67" s="485"/>
      <c r="J67" s="17" t="str">
        <f>IF('Personnel Yr 1'!$K$5&gt;2,IF(AND(OR(ISBLANK($I67),$I67=""),ISBLANK('Personnel Yr 2'!J67)),"",'Personnel Yr 2'!J67),"")</f>
        <v/>
      </c>
      <c r="K67" s="17" t="str">
        <f>IF('Personnel Yr 1'!$K$5&gt;2,IF(AND(OR(ISBLANK($I67),$I67=""),ISBLANK('Personnel Yr 2'!K67)),"",'Personnel Yr 2'!K67),"")</f>
        <v/>
      </c>
      <c r="L67" s="17" t="str">
        <f>IF('Personnel Yr 1'!$K$5&gt;2,IF(AND(OR(ISBLANK($I67),$I67=""),ISBLANK('Personnel Yr 2'!L67)),"",'Personnel Yr 2'!L67),"")</f>
        <v/>
      </c>
      <c r="M67" s="32" t="str">
        <f>IF('Personnel Yr 1'!$K$5&gt;2,IF(AND(NOT(ISBLANK('Personnel Yr 2'!M67)),'Personnel Yr 2'!M67&lt;&gt;""),(('Personnel Yr 2'!M67*'Personnel Yr 1'!$D$5)+'Personnel Yr 2'!M67),""),"")</f>
        <v/>
      </c>
      <c r="N67" s="34" t="str">
        <f t="shared" si="10"/>
        <v/>
      </c>
      <c r="O67" s="41" t="str">
        <f t="shared" si="11"/>
        <v/>
      </c>
      <c r="P67" s="15"/>
    </row>
    <row r="68" spans="1:16" x14ac:dyDescent="0.2">
      <c r="A68" s="4">
        <v>16</v>
      </c>
      <c r="B68" s="5" t="str">
        <f>IF('Personnel Yr 1'!$K$5&gt;2,IF(ISBLANK('Personnel Yr 2'!B68),"",'Personnel Yr 2'!B68),"")</f>
        <v/>
      </c>
      <c r="C68" s="17" t="str">
        <f>IF('Personnel Yr 1'!$K$5&gt;2,IF(ISBLANK('Personnel Yr 2'!C68),"",'Personnel Yr 2'!C68),"")</f>
        <v/>
      </c>
      <c r="D68" s="17" t="str">
        <f>IF('Personnel Yr 1'!$K$5&gt;2,IF(ISBLANK('Personnel Yr 2'!D68),"",'Personnel Yr 2'!D68),"")</f>
        <v/>
      </c>
      <c r="E68" s="17" t="str">
        <f>IF('Personnel Yr 1'!$K$5&gt;2,IF(ISBLANK('Personnel Yr 2'!E68),"",'Personnel Yr 2'!E68),"")</f>
        <v/>
      </c>
      <c r="F68" s="17" t="str">
        <f>IF('Personnel Yr 1'!$K$5&gt;2,IF(ISBLANK('Personnel Yr 2'!F68),"",'Personnel Yr 2'!F68),"")</f>
        <v/>
      </c>
      <c r="G68" s="483" t="str">
        <f>IF('Personnel Yr 1'!$K$5&gt;2,IF(ISBLANK('Personnel Yr 2'!G68),"",'Personnel Yr 2'!G68),"")</f>
        <v/>
      </c>
      <c r="H68" s="484"/>
      <c r="I68" s="485"/>
      <c r="J68" s="17" t="str">
        <f>IF('Personnel Yr 1'!$K$5&gt;2,IF(AND(OR(ISBLANK($I68),$I68=""),ISBLANK('Personnel Yr 2'!J68)),"",'Personnel Yr 2'!J68),"")</f>
        <v/>
      </c>
      <c r="K68" s="17" t="str">
        <f>IF('Personnel Yr 1'!$K$5&gt;2,IF(AND(OR(ISBLANK($I68),$I68=""),ISBLANK('Personnel Yr 2'!K68)),"",'Personnel Yr 2'!K68),"")</f>
        <v/>
      </c>
      <c r="L68" s="17" t="str">
        <f>IF('Personnel Yr 1'!$K$5&gt;2,IF(AND(OR(ISBLANK($I68),$I68=""),ISBLANK('Personnel Yr 2'!L68)),"",'Personnel Yr 2'!L68),"")</f>
        <v/>
      </c>
      <c r="M68" s="32" t="str">
        <f>IF('Personnel Yr 1'!$K$5&gt;2,IF(AND(NOT(ISBLANK('Personnel Yr 2'!M68)),'Personnel Yr 2'!M68&lt;&gt;""),(('Personnel Yr 2'!M68*'Personnel Yr 1'!$D$5)+'Personnel Yr 2'!M68),""),"")</f>
        <v/>
      </c>
      <c r="N68" s="34" t="str">
        <f t="shared" si="10"/>
        <v/>
      </c>
      <c r="O68" s="41" t="str">
        <f t="shared" si="11"/>
        <v/>
      </c>
      <c r="P68" s="188"/>
    </row>
    <row r="69" spans="1:16" x14ac:dyDescent="0.2">
      <c r="A69" s="4">
        <v>17</v>
      </c>
      <c r="B69" s="5" t="str">
        <f>IF('Personnel Yr 1'!$K$5&gt;2,IF(ISBLANK('Personnel Yr 2'!B69),"",'Personnel Yr 2'!B69),"")</f>
        <v/>
      </c>
      <c r="C69" s="17" t="str">
        <f>IF('Personnel Yr 1'!$K$5&gt;2,IF(ISBLANK('Personnel Yr 2'!C69),"",'Personnel Yr 2'!C69),"")</f>
        <v/>
      </c>
      <c r="D69" s="17" t="str">
        <f>IF('Personnel Yr 1'!$K$5&gt;2,IF(ISBLANK('Personnel Yr 2'!D69),"",'Personnel Yr 2'!D69),"")</f>
        <v/>
      </c>
      <c r="E69" s="17" t="str">
        <f>IF('Personnel Yr 1'!$K$5&gt;2,IF(ISBLANK('Personnel Yr 2'!E69),"",'Personnel Yr 2'!E69),"")</f>
        <v/>
      </c>
      <c r="F69" s="17" t="str">
        <f>IF('Personnel Yr 1'!$K$5&gt;2,IF(ISBLANK('Personnel Yr 2'!F69),"",'Personnel Yr 2'!F69),"")</f>
        <v/>
      </c>
      <c r="G69" s="483" t="str">
        <f>IF('Personnel Yr 1'!$K$5&gt;2,IF(ISBLANK('Personnel Yr 2'!G69),"",'Personnel Yr 2'!G69),"")</f>
        <v/>
      </c>
      <c r="H69" s="484"/>
      <c r="I69" s="485"/>
      <c r="J69" s="17" t="str">
        <f>IF('Personnel Yr 1'!$K$5&gt;2,IF(AND(OR(ISBLANK($I69),$I69=""),ISBLANK('Personnel Yr 2'!J69)),"",'Personnel Yr 2'!J69),"")</f>
        <v/>
      </c>
      <c r="K69" s="17" t="str">
        <f>IF('Personnel Yr 1'!$K$5&gt;2,IF(AND(OR(ISBLANK($I69),$I69=""),ISBLANK('Personnel Yr 2'!K69)),"",'Personnel Yr 2'!K69),"")</f>
        <v/>
      </c>
      <c r="L69" s="17" t="str">
        <f>IF('Personnel Yr 1'!$K$5&gt;2,IF(AND(OR(ISBLANK($I69),$I69=""),ISBLANK('Personnel Yr 2'!L69)),"",'Personnel Yr 2'!L69),"")</f>
        <v/>
      </c>
      <c r="M69" s="32" t="str">
        <f>IF('Personnel Yr 1'!$K$5&gt;2,IF(AND(NOT(ISBLANK('Personnel Yr 2'!M69)),'Personnel Yr 2'!M69&lt;&gt;""),(('Personnel Yr 2'!M69*'Personnel Yr 1'!$D$5)+'Personnel Yr 2'!M69),""),"")</f>
        <v/>
      </c>
      <c r="N69" s="34" t="str">
        <f t="shared" si="10"/>
        <v/>
      </c>
      <c r="O69" s="41" t="str">
        <f t="shared" si="11"/>
        <v/>
      </c>
      <c r="P69" s="188"/>
    </row>
    <row r="70" spans="1:16" x14ac:dyDescent="0.2">
      <c r="A70" s="4">
        <v>18</v>
      </c>
      <c r="B70" s="5" t="str">
        <f>IF('Personnel Yr 1'!$K$5&gt;2,IF(ISBLANK('Personnel Yr 2'!B70),"",'Personnel Yr 2'!B70),"")</f>
        <v/>
      </c>
      <c r="C70" s="17" t="str">
        <f>IF('Personnel Yr 1'!$K$5&gt;2,IF(ISBLANK('Personnel Yr 2'!C70),"",'Personnel Yr 2'!C70),"")</f>
        <v/>
      </c>
      <c r="D70" s="17" t="str">
        <f>IF('Personnel Yr 1'!$K$5&gt;2,IF(ISBLANK('Personnel Yr 2'!D70),"",'Personnel Yr 2'!D70),"")</f>
        <v/>
      </c>
      <c r="E70" s="17" t="str">
        <f>IF('Personnel Yr 1'!$K$5&gt;2,IF(ISBLANK('Personnel Yr 2'!E70),"",'Personnel Yr 2'!E70),"")</f>
        <v/>
      </c>
      <c r="F70" s="17" t="str">
        <f>IF('Personnel Yr 1'!$K$5&gt;2,IF(ISBLANK('Personnel Yr 2'!F70),"",'Personnel Yr 2'!F70),"")</f>
        <v/>
      </c>
      <c r="G70" s="483" t="str">
        <f>IF('Personnel Yr 1'!$K$5&gt;2,IF(ISBLANK('Personnel Yr 2'!G70),"",'Personnel Yr 2'!G70),"")</f>
        <v/>
      </c>
      <c r="H70" s="484"/>
      <c r="I70" s="485"/>
      <c r="J70" s="17" t="str">
        <f>IF('Personnel Yr 1'!$K$5&gt;2,IF(AND(OR(ISBLANK($I70),$I70=""),ISBLANK('Personnel Yr 2'!J70)),"",'Personnel Yr 2'!J70),"")</f>
        <v/>
      </c>
      <c r="K70" s="17" t="str">
        <f>IF('Personnel Yr 1'!$K$5&gt;2,IF(AND(OR(ISBLANK($I70),$I70=""),ISBLANK('Personnel Yr 2'!K70)),"",'Personnel Yr 2'!K70),"")</f>
        <v/>
      </c>
      <c r="L70" s="17" t="str">
        <f>IF('Personnel Yr 1'!$K$5&gt;2,IF(AND(OR(ISBLANK($I70),$I70=""),ISBLANK('Personnel Yr 2'!L70)),"",'Personnel Yr 2'!L70),"")</f>
        <v/>
      </c>
      <c r="M70" s="32" t="str">
        <f>IF('Personnel Yr 1'!$K$5&gt;2,IF(AND(NOT(ISBLANK('Personnel Yr 2'!M70)),'Personnel Yr 2'!M70&lt;&gt;""),(('Personnel Yr 2'!M70*'Personnel Yr 1'!$D$5)+'Personnel Yr 2'!M70),""),"")</f>
        <v/>
      </c>
      <c r="N70" s="34" t="str">
        <f t="shared" si="10"/>
        <v/>
      </c>
      <c r="O70" s="41" t="str">
        <f t="shared" si="11"/>
        <v/>
      </c>
      <c r="P70" s="188"/>
    </row>
    <row r="71" spans="1:16" x14ac:dyDescent="0.2">
      <c r="A71" s="4">
        <v>19</v>
      </c>
      <c r="B71" s="5" t="str">
        <f>IF('Personnel Yr 1'!$K$5&gt;2,IF(ISBLANK('Personnel Yr 2'!B71),"",'Personnel Yr 2'!B71),"")</f>
        <v/>
      </c>
      <c r="C71" s="17" t="str">
        <f>IF('Personnel Yr 1'!$K$5&gt;2,IF(ISBLANK('Personnel Yr 2'!C71),"",'Personnel Yr 2'!C71),"")</f>
        <v/>
      </c>
      <c r="D71" s="17" t="str">
        <f>IF('Personnel Yr 1'!$K$5&gt;2,IF(ISBLANK('Personnel Yr 2'!D71),"",'Personnel Yr 2'!D71),"")</f>
        <v/>
      </c>
      <c r="E71" s="17" t="str">
        <f>IF('Personnel Yr 1'!$K$5&gt;2,IF(ISBLANK('Personnel Yr 2'!E71),"",'Personnel Yr 2'!E71),"")</f>
        <v/>
      </c>
      <c r="F71" s="17" t="str">
        <f>IF('Personnel Yr 1'!$K$5&gt;2,IF(ISBLANK('Personnel Yr 2'!F71),"",'Personnel Yr 2'!F71),"")</f>
        <v/>
      </c>
      <c r="G71" s="483" t="str">
        <f>IF('Personnel Yr 1'!$K$5&gt;2,IF(ISBLANK('Personnel Yr 2'!G71),"",'Personnel Yr 2'!G71),"")</f>
        <v/>
      </c>
      <c r="H71" s="484"/>
      <c r="I71" s="485"/>
      <c r="J71" s="17" t="str">
        <f>IF('Personnel Yr 1'!$K$5&gt;2,IF(AND(OR(ISBLANK($I71),$I71=""),ISBLANK('Personnel Yr 2'!J71)),"",'Personnel Yr 2'!J71),"")</f>
        <v/>
      </c>
      <c r="K71" s="17" t="str">
        <f>IF('Personnel Yr 1'!$K$5&gt;2,IF(AND(OR(ISBLANK($I71),$I71=""),ISBLANK('Personnel Yr 2'!K71)),"",'Personnel Yr 2'!K71),"")</f>
        <v/>
      </c>
      <c r="L71" s="17" t="str">
        <f>IF('Personnel Yr 1'!$K$5&gt;2,IF(AND(OR(ISBLANK($I71),$I71=""),ISBLANK('Personnel Yr 2'!L71)),"",'Personnel Yr 2'!L71),"")</f>
        <v/>
      </c>
      <c r="M71" s="32" t="str">
        <f>IF('Personnel Yr 1'!$K$5&gt;2,IF(AND(NOT(ISBLANK('Personnel Yr 2'!M71)),'Personnel Yr 2'!M71&lt;&gt;""),(('Personnel Yr 2'!M71*'Personnel Yr 1'!$D$5)+'Personnel Yr 2'!M71),""),"")</f>
        <v/>
      </c>
      <c r="N71" s="34" t="str">
        <f t="shared" si="10"/>
        <v/>
      </c>
      <c r="O71" s="41" t="str">
        <f t="shared" si="11"/>
        <v/>
      </c>
      <c r="P71" s="188"/>
    </row>
    <row r="72" spans="1:16" ht="13.5" thickBot="1" x14ac:dyDescent="0.25">
      <c r="A72" s="4">
        <v>20</v>
      </c>
      <c r="B72" s="202" t="str">
        <f>IF('Personnel Yr 1'!$K$5&gt;2,IF(ISBLANK('Personnel Yr 2'!B72),"",'Personnel Yr 2'!B72),"")</f>
        <v/>
      </c>
      <c r="C72" s="22" t="str">
        <f>IF('Personnel Yr 1'!$K$5&gt;2,IF(ISBLANK('Personnel Yr 2'!C72),"",'Personnel Yr 2'!C72),"")</f>
        <v/>
      </c>
      <c r="D72" s="22" t="str">
        <f>IF('Personnel Yr 1'!$K$5&gt;2,IF(ISBLANK('Personnel Yr 2'!D72),"",'Personnel Yr 2'!D72),"")</f>
        <v/>
      </c>
      <c r="E72" s="22" t="str">
        <f>IF('Personnel Yr 1'!$K$5&gt;2,IF(ISBLANK('Personnel Yr 2'!E72),"",'Personnel Yr 2'!E72),"")</f>
        <v/>
      </c>
      <c r="F72" s="22" t="str">
        <f>IF('Personnel Yr 1'!$K$5&gt;2,IF(ISBLANK('Personnel Yr 2'!F72),"",'Personnel Yr 2'!F72),"")</f>
        <v/>
      </c>
      <c r="G72" s="550" t="str">
        <f>IF('Personnel Yr 1'!$K$5&gt;2,IF(ISBLANK('Personnel Yr 2'!G72),"",'Personnel Yr 2'!G72),"")</f>
        <v/>
      </c>
      <c r="H72" s="551"/>
      <c r="I72" s="552"/>
      <c r="J72" s="22" t="str">
        <f>IF('Personnel Yr 1'!$K$5&gt;2,IF(AND(OR(ISBLANK($I72),$I72=""),ISBLANK('Personnel Yr 2'!J72)),"",'Personnel Yr 2'!J72),"")</f>
        <v/>
      </c>
      <c r="K72" s="22" t="str">
        <f>IF('Personnel Yr 1'!$K$5&gt;2,IF(AND(OR(ISBLANK($I72),$I72=""),ISBLANK('Personnel Yr 2'!K72)),"",'Personnel Yr 2'!K72),"")</f>
        <v/>
      </c>
      <c r="L72" s="22" t="str">
        <f>IF('Personnel Yr 1'!$K$5&gt;2,IF(AND(OR(ISBLANK($I72),$I72=""),ISBLANK('Personnel Yr 2'!L72)),"",'Personnel Yr 2'!L72),"")</f>
        <v/>
      </c>
      <c r="M72" s="33" t="str">
        <f>IF('Personnel Yr 1'!$K$5&gt;2,IF(AND(NOT(ISBLANK('Personnel Yr 2'!M72)),'Personnel Yr 2'!M72&lt;&gt;""),(('Personnel Yr 2'!M72*'Personnel Yr 1'!$D$5)+'Personnel Yr 2'!M72),""),"")</f>
        <v/>
      </c>
      <c r="N72" s="42" t="str">
        <f t="shared" si="10"/>
        <v/>
      </c>
      <c r="O72" s="285" t="str">
        <f t="shared" si="11"/>
        <v/>
      </c>
      <c r="P72" s="188"/>
    </row>
    <row r="73" spans="1:16" ht="13.5" thickBot="1" x14ac:dyDescent="0.25">
      <c r="B73" s="406">
        <f>COUNTIF(E53:E67,"*")</f>
        <v>15</v>
      </c>
      <c r="O73" s="327">
        <f>SUM(O53:O67)</f>
        <v>0</v>
      </c>
      <c r="P73" s="414"/>
    </row>
    <row r="74" spans="1:16" ht="13.5" thickBot="1" x14ac:dyDescent="0.25"/>
    <row r="75" spans="1:16" ht="12.75" customHeight="1" x14ac:dyDescent="0.2">
      <c r="G75" s="339"/>
      <c r="H75" s="339"/>
      <c r="I75" s="533" t="s">
        <v>225</v>
      </c>
      <c r="J75" s="534"/>
      <c r="K75" s="534"/>
      <c r="L75" s="534"/>
      <c r="M75" s="535"/>
    </row>
    <row r="76" spans="1:16" ht="12.75" customHeight="1" thickBot="1" x14ac:dyDescent="0.25">
      <c r="G76" s="339"/>
      <c r="H76" s="339"/>
      <c r="I76" s="536"/>
      <c r="J76" s="537"/>
      <c r="K76" s="537"/>
      <c r="L76" s="537"/>
      <c r="M76" s="538"/>
    </row>
    <row r="77" spans="1:16" ht="12.75" customHeight="1" x14ac:dyDescent="0.2">
      <c r="G77" s="339"/>
      <c r="H77" s="339"/>
      <c r="I77" s="525" t="s">
        <v>230</v>
      </c>
      <c r="J77" s="555"/>
      <c r="K77" s="555"/>
      <c r="L77" s="555"/>
      <c r="M77" s="556"/>
    </row>
    <row r="78" spans="1:16" ht="12.75" customHeight="1" x14ac:dyDescent="0.2">
      <c r="G78" s="339"/>
      <c r="H78" s="339"/>
      <c r="I78" s="557"/>
      <c r="J78" s="558"/>
      <c r="K78" s="558"/>
      <c r="L78" s="558"/>
      <c r="M78" s="559"/>
    </row>
    <row r="79" spans="1:16" ht="12.75" customHeight="1" x14ac:dyDescent="0.2">
      <c r="G79" s="339"/>
      <c r="H79" s="339"/>
      <c r="I79" s="557"/>
      <c r="J79" s="558"/>
      <c r="K79" s="558"/>
      <c r="L79" s="558"/>
      <c r="M79" s="559"/>
    </row>
    <row r="80" spans="1:16" ht="12.75" customHeight="1" x14ac:dyDescent="0.2">
      <c r="G80" s="339"/>
      <c r="H80" s="339"/>
      <c r="I80" s="557"/>
      <c r="J80" s="558"/>
      <c r="K80" s="558"/>
      <c r="L80" s="558"/>
      <c r="M80" s="559"/>
    </row>
    <row r="81" spans="7:13" ht="12.75" customHeight="1" thickBot="1" x14ac:dyDescent="0.25">
      <c r="G81" s="339"/>
      <c r="H81" s="339"/>
      <c r="I81" s="560"/>
      <c r="J81" s="561"/>
      <c r="K81" s="561"/>
      <c r="L81" s="561"/>
      <c r="M81" s="562"/>
    </row>
    <row r="82" spans="7:13" ht="12.75" customHeight="1" thickBot="1" x14ac:dyDescent="0.25">
      <c r="I82" s="200" t="s">
        <v>226</v>
      </c>
      <c r="J82" s="193"/>
      <c r="K82" s="199" t="s">
        <v>227</v>
      </c>
      <c r="L82" s="199" t="s">
        <v>228</v>
      </c>
      <c r="M82" s="198" t="s">
        <v>229</v>
      </c>
    </row>
    <row r="83" spans="7:13" ht="12.75" customHeight="1" thickBot="1" x14ac:dyDescent="0.25">
      <c r="I83" s="194">
        <v>0</v>
      </c>
      <c r="J83" s="195"/>
      <c r="K83" s="196">
        <f>I83*12</f>
        <v>0</v>
      </c>
      <c r="L83" s="196">
        <f>I83*8.5</f>
        <v>0</v>
      </c>
      <c r="M83" s="197">
        <f>I83*3.5</f>
        <v>0</v>
      </c>
    </row>
  </sheetData>
  <sheetProtection algorithmName="SHA-512" hashValue="RwTVxppcS46EIrbVKQbbwru+vSEeSzmu+Ovo6/j30yW9MFTeDeSdYf9fSbCAh1KdEkJkv8jFvmaFNrAhum88lQ==" saltValue="rYE9t69GNZ+iD5gqL0b8Cw==" spinCount="100000" sheet="1" objects="1" scenarios="1"/>
  <mergeCells count="48">
    <mergeCell ref="B18:D18"/>
    <mergeCell ref="I75:M76"/>
    <mergeCell ref="I77:M81"/>
    <mergeCell ref="J50:N50"/>
    <mergeCell ref="C45:I45"/>
    <mergeCell ref="C46:I46"/>
    <mergeCell ref="C49:F49"/>
    <mergeCell ref="J49:N49"/>
    <mergeCell ref="C47:I47"/>
    <mergeCell ref="C48:I48"/>
    <mergeCell ref="G58:I58"/>
    <mergeCell ref="G59:I59"/>
    <mergeCell ref="G60:I60"/>
    <mergeCell ref="G61:I61"/>
    <mergeCell ref="G62:I62"/>
    <mergeCell ref="G55:I55"/>
    <mergeCell ref="G56:I56"/>
    <mergeCell ref="G57:I57"/>
    <mergeCell ref="A1:O1"/>
    <mergeCell ref="B5:C5"/>
    <mergeCell ref="C15:F15"/>
    <mergeCell ref="K16:N16"/>
    <mergeCell ref="G15:N15"/>
    <mergeCell ref="B37:C37"/>
    <mergeCell ref="D37:L37"/>
    <mergeCell ref="A3:O3"/>
    <mergeCell ref="C39:I39"/>
    <mergeCell ref="C44:I44"/>
    <mergeCell ref="C42:I42"/>
    <mergeCell ref="C16:F16"/>
    <mergeCell ref="C43:F43"/>
    <mergeCell ref="G54:I54"/>
    <mergeCell ref="G63:I63"/>
    <mergeCell ref="G64:I64"/>
    <mergeCell ref="G65:I65"/>
    <mergeCell ref="G66:I66"/>
    <mergeCell ref="G67:I67"/>
    <mergeCell ref="G68:I68"/>
    <mergeCell ref="G69:I69"/>
    <mergeCell ref="G70:I70"/>
    <mergeCell ref="G71:I71"/>
    <mergeCell ref="G72:I72"/>
    <mergeCell ref="P52:Q52"/>
    <mergeCell ref="G53:I53"/>
    <mergeCell ref="C40:I40"/>
    <mergeCell ref="C41:I41"/>
    <mergeCell ref="B51:C51"/>
    <mergeCell ref="D51:L51"/>
  </mergeCells>
  <phoneticPr fontId="5" type="noConversion"/>
  <conditionalFormatting sqref="I7:I14">
    <cfRule type="expression" dxfId="20" priority="11">
      <formula>$Z$7</formula>
    </cfRule>
  </conditionalFormatting>
  <conditionalFormatting sqref="I20:I34">
    <cfRule type="expression" dxfId="19" priority="10">
      <formula>$Z$7</formula>
    </cfRule>
  </conditionalFormatting>
  <conditionalFormatting sqref="I43">
    <cfRule type="cellIs" dxfId="18" priority="3" stopIfTrue="1" operator="equal">
      <formula>""</formula>
    </cfRule>
  </conditionalFormatting>
  <conditionalFormatting sqref="M53:M72">
    <cfRule type="expression" dxfId="17" priority="2">
      <formula>$Z$7</formula>
    </cfRule>
  </conditionalFormatting>
  <dataValidations count="5">
    <dataValidation type="list" allowBlank="1" showInputMessage="1" showErrorMessage="1" sqref="I43" xr:uid="{0A9C45A0-3AE6-4615-9118-666A4F981104}">
      <formula1>Grad</formula1>
    </dataValidation>
    <dataValidation type="list" allowBlank="1" showInputMessage="1" showErrorMessage="1" sqref="B7:B14 B20:B34 B53:B72" xr:uid="{00000000-0002-0000-0300-000001000000}">
      <formula1>Prefix</formula1>
    </dataValidation>
    <dataValidation type="list" allowBlank="1" showInputMessage="1" showErrorMessage="1" sqref="G7:G14 G20:G34" xr:uid="{00000000-0002-0000-0300-000002000000}">
      <formula1>Roles</formula1>
    </dataValidation>
    <dataValidation type="list" allowBlank="1" showInputMessage="1" showErrorMessage="1" sqref="G53:I72" xr:uid="{14AACC97-D1B6-4E94-BB66-83FEB3433F7F}">
      <formula1>OtherRoles</formula1>
    </dataValidation>
    <dataValidation type="list" allowBlank="1" showInputMessage="1" showErrorMessage="1" sqref="H20:H34 H7:H14" xr:uid="{B8A69CA8-36BC-4397-A896-A108D4CB5268}">
      <formula1>Designation</formula1>
    </dataValidation>
  </dataValidations>
  <printOptions horizontalCentered="1"/>
  <pageMargins left="0.25" right="0.25" top="0.5" bottom="0.5" header="0.5" footer="0.5"/>
  <pageSetup scale="78" orientation="landscape" r:id="rId1"/>
  <headerFooter alignWithMargins="0">
    <oddFooter>&amp;RPrinted On: &amp;D &amp;T</oddFooter>
  </headerFooter>
  <colBreaks count="1" manualBreakCount="1">
    <brk id="15" max="1048575" man="1"/>
  </colBreaks>
  <ignoredErrors>
    <ignoredError sqref="O7:O14 B7:G14 K36:L36 B36:G36 J36 I36 C15:G16 I15:I17 J15:J17 N15:N17 B17:G17 K15:L17 M15:M17 O17 M36:O36" unlockedFormula="1"/>
  </ignoredErrors>
  <extLst>
    <ext xmlns:x14="http://schemas.microsoft.com/office/spreadsheetml/2009/9/main" uri="{78C0D931-6437-407d-A8EE-F0AAD7539E65}">
      <x14:conditionalFormattings>
        <x14:conditionalFormatting xmlns:xm="http://schemas.microsoft.com/office/excel/2006/main">
          <x14:cfRule type="expression" priority="1" id="{FB020D1B-400D-46A6-B410-8BFF0C5CA058}">
            <xm:f>IF(O5="Federal - NIH",SUM('Non-personnel'!$H$41,$O$43)/IF(OR(ISBLANK($B$43),NOT(ISNUMBER($B$43))),1,$B$43)&gt;NIHGradLimit)</xm:f>
            <x14:dxf>
              <fill>
                <patternFill>
                  <bgColor rgb="FFFFFF00"/>
                </patternFill>
              </fill>
            </x14:dxf>
          </x14:cfRule>
          <xm:sqref>O43</xm:sqref>
        </x14:conditionalFormatting>
      </x14:conditionalFormattings>
    </ext>
    <ext xmlns:x14="http://schemas.microsoft.com/office/spreadsheetml/2009/9/main" uri="{CCE6A557-97BC-4b89-ADB6-D9C93CAAB3DF}">
      <x14:dataValidations xmlns:xm="http://schemas.microsoft.com/office/excel/2006/main" count="1">
        <x14:dataValidation type="custom" errorStyle="information" allowBlank="1" showInputMessage="1" showErrorMessage="1" errorTitle="Salary Cap Error" error="Base salary should remain under $221,900 for calandar appointments and $157,179 for academic appointments." xr:uid="{594B004B-6B37-4FD4-BF6C-767E0EECDAF5}">
          <x14:formula1>
            <xm:f>IF(AND('Personnel Yr 1'!$O$5="Federal - NIH",OR(NOT(ISBLANK($J7)),NOT(ISBLANK($K7)),NOT(ISBLANK($L7)),$J7&lt;&gt;"",$K7&lt;&gt;"",$L7&lt;&gt;"")),IF($J7&gt;0,$I7&lt;=NIHSalaryCap,$I7&lt;=(NIHSalaryCap*8.5)/12),TRUE)</xm:f>
          </x14:formula1>
          <xm:sqref>I7:I14 I20:I34 J7:J14 J20:J34 J53:J72 K53:K72 K20:K34 K7:K14 L7:L14 L20:L34 L53:L72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E83"/>
  <sheetViews>
    <sheetView workbookViewId="0">
      <selection sqref="A1:O1"/>
    </sheetView>
  </sheetViews>
  <sheetFormatPr defaultRowHeight="12.75" x14ac:dyDescent="0.2"/>
  <cols>
    <col min="1" max="1" width="3" bestFit="1" customWidth="1"/>
    <col min="2" max="2" width="6.42578125" customWidth="1"/>
    <col min="3" max="3" width="18.7109375" customWidth="1"/>
    <col min="4" max="4" width="9.28515625" customWidth="1"/>
    <col min="5" max="5" width="18.7109375" customWidth="1"/>
    <col min="6" max="6" width="6.28515625" customWidth="1"/>
    <col min="7" max="7" width="14.7109375" customWidth="1"/>
    <col min="8" max="8" width="30.7109375" customWidth="1"/>
    <col min="9" max="9" width="10.5703125" customWidth="1"/>
    <col min="10" max="12" width="7.42578125" customWidth="1"/>
    <col min="13" max="15" width="10.5703125" customWidth="1"/>
    <col min="16" max="16" width="72.140625" customWidth="1"/>
    <col min="17" max="31" width="9.140625" style="335"/>
  </cols>
  <sheetData>
    <row r="1" spans="1:26" ht="18" x14ac:dyDescent="0.25">
      <c r="A1" s="539" t="s">
        <v>71</v>
      </c>
      <c r="B1" s="539"/>
      <c r="C1" s="539"/>
      <c r="D1" s="539"/>
      <c r="E1" s="539"/>
      <c r="F1" s="539"/>
      <c r="G1" s="539"/>
      <c r="H1" s="539"/>
      <c r="I1" s="539"/>
      <c r="J1" s="539"/>
      <c r="K1" s="539"/>
      <c r="L1" s="539"/>
      <c r="M1" s="539"/>
      <c r="N1" s="539"/>
      <c r="O1" s="539"/>
    </row>
    <row r="2" spans="1:26" x14ac:dyDescent="0.2">
      <c r="A2" s="1"/>
      <c r="B2" s="1"/>
      <c r="C2" s="1"/>
      <c r="D2" s="1"/>
      <c r="E2" s="1"/>
      <c r="F2" s="1"/>
      <c r="G2" s="1"/>
      <c r="H2" s="1"/>
      <c r="I2" s="1"/>
      <c r="J2" s="1"/>
      <c r="K2" s="1"/>
      <c r="L2" s="1"/>
      <c r="M2" s="1"/>
      <c r="N2" s="1"/>
      <c r="O2" s="1"/>
    </row>
    <row r="3" spans="1:26" ht="18" x14ac:dyDescent="0.25">
      <c r="A3" s="539" t="s">
        <v>74</v>
      </c>
      <c r="B3" s="539"/>
      <c r="C3" s="539"/>
      <c r="D3" s="539"/>
      <c r="E3" s="539"/>
      <c r="F3" s="539"/>
      <c r="G3" s="539"/>
      <c r="H3" s="539"/>
      <c r="I3" s="539"/>
      <c r="J3" s="539"/>
      <c r="K3" s="539"/>
      <c r="L3" s="539"/>
      <c r="M3" s="539"/>
      <c r="N3" s="539"/>
      <c r="O3" s="539"/>
    </row>
    <row r="4" spans="1:26" ht="18" x14ac:dyDescent="0.25">
      <c r="A4" s="51"/>
      <c r="B4" s="51"/>
      <c r="C4" s="51"/>
      <c r="D4" s="51"/>
      <c r="E4" s="51"/>
      <c r="F4" s="51"/>
      <c r="G4" s="51"/>
      <c r="H4" s="51"/>
      <c r="I4" s="51"/>
      <c r="J4" s="51"/>
      <c r="K4" s="51"/>
      <c r="L4" s="51"/>
      <c r="M4" s="51"/>
      <c r="N4" s="51"/>
      <c r="O4" s="51"/>
    </row>
    <row r="5" spans="1:26" x14ac:dyDescent="0.2">
      <c r="B5" s="516" t="s">
        <v>5</v>
      </c>
      <c r="C5" s="516"/>
      <c r="D5" s="19"/>
      <c r="O5" s="335">
        <f>'Personnel Yr 3'!O5</f>
        <v>0</v>
      </c>
    </row>
    <row r="6" spans="1:26" ht="26.25" thickBot="1" x14ac:dyDescent="0.25">
      <c r="B6" s="3" t="s">
        <v>0</v>
      </c>
      <c r="C6" s="2" t="s">
        <v>1</v>
      </c>
      <c r="D6" s="2" t="s">
        <v>2</v>
      </c>
      <c r="E6" s="2" t="s">
        <v>3</v>
      </c>
      <c r="F6" s="2" t="s">
        <v>4</v>
      </c>
      <c r="G6" s="2" t="s">
        <v>39</v>
      </c>
      <c r="H6" s="2" t="s">
        <v>532</v>
      </c>
      <c r="I6" s="2" t="s">
        <v>40</v>
      </c>
      <c r="J6" s="2" t="s">
        <v>56</v>
      </c>
      <c r="K6" s="2" t="s">
        <v>57</v>
      </c>
      <c r="L6" s="2" t="s">
        <v>58</v>
      </c>
      <c r="M6" s="3" t="s">
        <v>41</v>
      </c>
      <c r="N6" s="2" t="s">
        <v>42</v>
      </c>
      <c r="O6" s="2" t="s">
        <v>38</v>
      </c>
      <c r="P6" s="2" t="s">
        <v>224</v>
      </c>
      <c r="Q6" s="334" t="s">
        <v>62</v>
      </c>
      <c r="R6" s="334" t="s">
        <v>63</v>
      </c>
      <c r="S6" s="334" t="s">
        <v>64</v>
      </c>
      <c r="U6" s="334" t="s">
        <v>62</v>
      </c>
      <c r="V6" s="334" t="s">
        <v>63</v>
      </c>
      <c r="W6" s="334" t="s">
        <v>64</v>
      </c>
      <c r="Z6" s="335" t="s">
        <v>449</v>
      </c>
    </row>
    <row r="7" spans="1:26" x14ac:dyDescent="0.2">
      <c r="A7" s="4">
        <v>1</v>
      </c>
      <c r="B7" s="57" t="str">
        <f>IF('Personnel Yr 1'!$K$5&gt;3,IF(NOT(OR(ISBLANK('Personnel Yr 3'!B7),'Personnel Yr 3'!B7="")),'Personnel Yr 3'!B7,""),"")</f>
        <v/>
      </c>
      <c r="C7" s="13" t="str">
        <f>IF('Personnel Yr 1'!$K$5&gt;3,IF(ISBLANK('Personnel Yr 3'!C7),"",'Personnel Yr 3'!C7),"")</f>
        <v/>
      </c>
      <c r="D7" s="13" t="str">
        <f>IF('Personnel Yr 1'!$K$5&gt;3,IF(ISBLANK('Personnel Yr 3'!D7),"",'Personnel Yr 3'!D7),"")</f>
        <v/>
      </c>
      <c r="E7" s="13" t="str">
        <f>IF('Personnel Yr 1'!$K$5&gt;3,IF(ISBLANK('Personnel Yr 3'!E7),"",'Personnel Yr 3'!E7),"")</f>
        <v/>
      </c>
      <c r="F7" s="13" t="str">
        <f>IF('Personnel Yr 1'!$K$5&gt;3,IF(ISBLANK('Personnel Yr 3'!F7),"",'Personnel Yr 3'!F7),"")</f>
        <v/>
      </c>
      <c r="G7" s="13" t="str">
        <f>IF('Personnel Yr 1'!$K$5&gt;3,IF(ISBLANK('Personnel Yr 3'!G7),"",'Personnel Yr 3'!G7),"")</f>
        <v/>
      </c>
      <c r="H7" s="13" t="str">
        <f>IF('Personnel Yr 1'!$K$5&gt;3,IF(ISBLANK('Personnel Yr 3'!H7),"",'Personnel Yr 3'!H7),"")</f>
        <v/>
      </c>
      <c r="I7" s="204" t="str">
        <f>IF('Personnel Yr 1'!$K$5&gt;3,IF(NOT(OR(ISBLANK('Personnel Yr 3'!I7),'Personnel Yr 3'!I7="")),(('Personnel Yr 3'!I7*'Personnel Yr 1'!$D$5)+'Personnel Yr 3'!I7),""),"")</f>
        <v/>
      </c>
      <c r="J7" s="13" t="str">
        <f>IF('Personnel Yr 1'!$K$5&gt;3,IF(AND(OR(ISBLANK(I7),I7=""),ISBLANK('Personnel Yr 3'!J7)),"",'Personnel Yr 3'!J7),"")</f>
        <v/>
      </c>
      <c r="K7" s="13" t="str">
        <f>IF('Personnel Yr 1'!$K$5&gt;3,IF(AND(OR(ISBLANK(J7),J7=""),ISBLANK('Personnel Yr 3'!K7)),"",'Personnel Yr 3'!K7),"")</f>
        <v/>
      </c>
      <c r="L7" s="13" t="str">
        <f>IF('Personnel Yr 1'!$K$5&gt;3,IF(AND(OR(ISBLANK(K7),K7=""),ISBLANK('Personnel Yr 3'!L7)),"",'Personnel Yr 3'!L7),"")</f>
        <v/>
      </c>
      <c r="M7" s="35" t="str">
        <f>IF('Personnel Yr 1'!$K$5&gt;3,IF(NOT(OR(ISBLANK(I7),I7="")), IF(OR(AND(ISBLANK(J7),ISBLANK(K7),ISBLANK(L7)),AND(J7="",K7="",L7="")),0, IF((AND((J7&gt;0),((K7+L7)&gt;0))),"Error", IF((J7&gt;0),ROUND((IF(AND('Personnel Yr 1'!$P$5&gt;0,I7&gt;'Personnel Yr 1'!$P$5),'Personnel Yr 1'!$P$5,I7)*(J7/12)),2),ROUND((IF(AND('Personnel Yr 1'!$P$5&gt;0,I7&gt;'Personnel Yr 1'!$P$5),'Personnel Yr 1'!$P$5,I7)*((K7+L7)/8.5)),2)))),""),"")</f>
        <v/>
      </c>
      <c r="N7" s="35" t="str">
        <f>IF('Personnel Yr 1'!$K$5&gt;3,IF(OR(ISBLANK(M7),M7=""),"",ROUND(SUM(U7:W7),2)),"")</f>
        <v/>
      </c>
      <c r="O7" s="36" t="str">
        <f>IF('Personnel Yr 1'!$K$5&gt;3,IF(OR(ISBLANK(N7),N7=""),"",ROUND(SUM(M7:N7),2)),"")</f>
        <v/>
      </c>
      <c r="P7" s="12"/>
      <c r="Q7" s="335">
        <f>IF('Personnel Yr 1'!$K$5&gt;3,IF(NOT(OR(ISBLANK(J7),J7="")),(I7/12)*J7,""),0)</f>
        <v>0</v>
      </c>
      <c r="R7" s="335">
        <f>IF('Personnel Yr 1'!$K$5&gt;3,IF(NOT(OR(ISBLANK(K7),K7="")),(I7/8.5)*K7,""),0)</f>
        <v>0</v>
      </c>
      <c r="S7" s="335">
        <f>IF('Personnel Yr 1'!$K$5&gt;3,IF(NOT(OR(ISBLANK(L7),L7="")),(I7/8.5)*L7,""),0)</f>
        <v>0</v>
      </c>
      <c r="U7" s="335">
        <f t="shared" ref="U7:U14" si="0">IF(OR(ISBLANK(Q7),Q7=""),0,Q7*_xlfn.XLOOKUP("*"&amp;H7&amp;"*",BenB,Per,,2))</f>
        <v>0</v>
      </c>
      <c r="V7" s="335">
        <f t="shared" ref="V7:V14" si="1">IF(OR(ISBLANK(R7),R7=""),0,R7*_xlfn.XLOOKUP("*"&amp;H7&amp;"*",BenB,Per,,2))</f>
        <v>0</v>
      </c>
      <c r="W7" s="335">
        <f t="shared" ref="W7:W14" si="2">IF(OR(ISBLANK(S7),S7=""),0,S7*_xlfn.XLOOKUP("Summer",Ben,Per))</f>
        <v>0</v>
      </c>
      <c r="Y7" s="335">
        <v>7</v>
      </c>
      <c r="Z7" s="335" t="b">
        <f>IF('Personnel Yr 1'!$K$5&gt;3,IF(OR($O$5&lt;&gt;"Federal - NIH",OR(AND(ISBLANK(J7),ISBLANK(K7),ISBLANK(L7)),AND(J7="",K7="",L7=""))),FALSE,IF(J7&gt;0,I7&gt;NIHSalaryCap,I7&gt;(NIHSalaryCap*8.5)/12)),FALSE)</f>
        <v>0</v>
      </c>
    </row>
    <row r="8" spans="1:26" x14ac:dyDescent="0.2">
      <c r="A8" s="4">
        <v>2</v>
      </c>
      <c r="B8" s="5" t="str">
        <f>IF('Personnel Yr 1'!$K$5&gt;3,IF(NOT(OR(ISBLANK('Personnel Yr 3'!B8),'Personnel Yr 3'!B8="")),'Personnel Yr 3'!B8,""),"")</f>
        <v/>
      </c>
      <c r="C8" s="17" t="str">
        <f>IF('Personnel Yr 1'!$K$5&gt;3,IF(ISBLANK('Personnel Yr 3'!C8),"",'Personnel Yr 3'!C8),"")</f>
        <v/>
      </c>
      <c r="D8" s="17" t="str">
        <f>IF('Personnel Yr 1'!$K$5&gt;3,IF(ISBLANK('Personnel Yr 3'!D8),"",'Personnel Yr 3'!D8),"")</f>
        <v/>
      </c>
      <c r="E8" s="17" t="str">
        <f>IF('Personnel Yr 1'!$K$5&gt;3,IF(ISBLANK('Personnel Yr 3'!E8),"",'Personnel Yr 3'!E8),"")</f>
        <v/>
      </c>
      <c r="F8" s="17" t="str">
        <f>IF('Personnel Yr 1'!$K$5&gt;3,IF(ISBLANK('Personnel Yr 3'!F8),"",'Personnel Yr 3'!F8),"")</f>
        <v/>
      </c>
      <c r="G8" s="17" t="str">
        <f>IF('Personnel Yr 1'!$K$5&gt;3,IF(ISBLANK('Personnel Yr 3'!G8),"",'Personnel Yr 3'!G8),"")</f>
        <v/>
      </c>
      <c r="H8" s="17" t="str">
        <f>IF('Personnel Yr 1'!$K$5&gt;3,IF(ISBLANK('Personnel Yr 3'!H8),"",'Personnel Yr 3'!H8),"")</f>
        <v/>
      </c>
      <c r="I8" s="32" t="str">
        <f>IF('Personnel Yr 1'!$K$5&gt;3,IF(NOT(OR(ISBLANK('Personnel Yr 3'!I8),'Personnel Yr 3'!I8="")),(('Personnel Yr 3'!I8*'Personnel Yr 1'!$D$5)+'Personnel Yr 3'!I8),""),"")</f>
        <v/>
      </c>
      <c r="J8" s="17" t="str">
        <f>IF('Personnel Yr 1'!$K$5&gt;3,IF(AND(OR(ISBLANK(I8),I8=""),ISBLANK('Personnel Yr 3'!J8)),"",'Personnel Yr 3'!J8),"")</f>
        <v/>
      </c>
      <c r="K8" s="17" t="str">
        <f>IF('Personnel Yr 1'!$K$5&gt;3,IF(AND(OR(ISBLANK(J8),J8=""),ISBLANK('Personnel Yr 3'!K8)),"",'Personnel Yr 3'!K8),"")</f>
        <v/>
      </c>
      <c r="L8" s="17" t="str">
        <f>IF('Personnel Yr 1'!$K$5&gt;3,IF(AND(OR(ISBLANK(K8),K8=""),ISBLANK('Personnel Yr 3'!L8)),"",'Personnel Yr 3'!L8),"")</f>
        <v/>
      </c>
      <c r="M8" s="34" t="str">
        <f>IF('Personnel Yr 1'!$K$5&gt;3,IF(NOT(OR(ISBLANK(I8),I8="")), IF(OR(AND(ISBLANK(J8),ISBLANK(K8),ISBLANK(L8)),AND(J8="",K8="",L8="")),0, IF((AND((J8&gt;0),((K8+L8)&gt;0))),"Error", IF((J8&gt;0),ROUND((IF(AND('Personnel Yr 1'!$P$5&gt;0,I8&gt;'Personnel Yr 1'!$P$5),'Personnel Yr 1'!$P$5,I8)*(J8/12)),2),ROUND((IF(AND('Personnel Yr 1'!$P$5&gt;0,I8&gt;'Personnel Yr 1'!$P$5),'Personnel Yr 1'!$P$5,I8)*((K8+L8)/8.5)),2)))),""),"")</f>
        <v/>
      </c>
      <c r="N8" s="34" t="str">
        <f>IF('Personnel Yr 1'!$K$5&gt;3,IF(OR(ISBLANK(M8),M8=""),"",ROUND(SUM(U8:W8),2)),"")</f>
        <v/>
      </c>
      <c r="O8" s="41" t="str">
        <f>IF('Personnel Yr 1'!$K$5&gt;3,IF(OR(ISBLANK(N8),N8=""),"",ROUND(SUM(M8:N8),2)),"")</f>
        <v/>
      </c>
      <c r="P8" s="15"/>
      <c r="Q8" s="335">
        <f>IF('Personnel Yr 1'!$K$5&gt;3,IF(NOT(OR(ISBLANK(J8),J8="")),(I8/12)*J8,""),0)</f>
        <v>0</v>
      </c>
      <c r="R8" s="335">
        <f>IF('Personnel Yr 1'!$K$5&gt;3,IF(NOT(OR(ISBLANK(K8),K8="")),(I8/8.5)*K8,""),0)</f>
        <v>0</v>
      </c>
      <c r="S8" s="335">
        <f>IF('Personnel Yr 1'!$K$5&gt;3,IF(NOT(OR(ISBLANK(L8),L8="")),(I8/8.5)*L8,""),0)</f>
        <v>0</v>
      </c>
      <c r="U8" s="335">
        <f t="shared" si="0"/>
        <v>0</v>
      </c>
      <c r="V8" s="335">
        <f t="shared" si="1"/>
        <v>0</v>
      </c>
      <c r="W8" s="335">
        <f t="shared" si="2"/>
        <v>0</v>
      </c>
      <c r="Y8" s="335">
        <v>8</v>
      </c>
      <c r="Z8" s="335" t="b">
        <f>IF('Personnel Yr 1'!$K$5&gt;3,IF(OR($O$5&lt;&gt;"Federal - NIH",OR(AND(ISBLANK(J8),ISBLANK(K8),ISBLANK(L8)),AND(J8="",K8="",L8=""))),FALSE,IF(J8&gt;0,I8&gt;NIHSalaryCap,I8&gt;(NIHSalaryCap*8.5)/12)),FALSE)</f>
        <v>0</v>
      </c>
    </row>
    <row r="9" spans="1:26" x14ac:dyDescent="0.2">
      <c r="A9" s="4">
        <v>3</v>
      </c>
      <c r="B9" s="5" t="str">
        <f>IF('Personnel Yr 1'!$K$5&gt;3,IF(NOT(OR(ISBLANK('Personnel Yr 3'!B9),'Personnel Yr 3'!B9="")),'Personnel Yr 3'!B9,""),"")</f>
        <v/>
      </c>
      <c r="C9" s="17" t="str">
        <f>IF('Personnel Yr 1'!$K$5&gt;3,IF(ISBLANK('Personnel Yr 3'!C9),"",'Personnel Yr 3'!C9),"")</f>
        <v/>
      </c>
      <c r="D9" s="17" t="str">
        <f>IF('Personnel Yr 1'!$K$5&gt;3,IF(ISBLANK('Personnel Yr 3'!D9),"",'Personnel Yr 3'!D9),"")</f>
        <v/>
      </c>
      <c r="E9" s="17" t="str">
        <f>IF('Personnel Yr 1'!$K$5&gt;3,IF(ISBLANK('Personnel Yr 3'!E9),"",'Personnel Yr 3'!E9),"")</f>
        <v/>
      </c>
      <c r="F9" s="17" t="str">
        <f>IF('Personnel Yr 1'!$K$5&gt;3,IF(ISBLANK('Personnel Yr 3'!F9),"",'Personnel Yr 3'!F9),"")</f>
        <v/>
      </c>
      <c r="G9" s="17" t="str">
        <f>IF('Personnel Yr 1'!$K$5&gt;3,IF(ISBLANK('Personnel Yr 3'!G9),"",'Personnel Yr 3'!G9),"")</f>
        <v/>
      </c>
      <c r="H9" s="17" t="str">
        <f>IF('Personnel Yr 1'!$K$5&gt;3,IF(ISBLANK('Personnel Yr 3'!H9),"",'Personnel Yr 3'!H9),"")</f>
        <v/>
      </c>
      <c r="I9" s="32" t="str">
        <f>IF('Personnel Yr 1'!$K$5&gt;3,IF(NOT(OR(ISBLANK('Personnel Yr 3'!I9),'Personnel Yr 3'!I9="")),(('Personnel Yr 3'!I9*'Personnel Yr 1'!$D$5)+'Personnel Yr 3'!I9),""),"")</f>
        <v/>
      </c>
      <c r="J9" s="17" t="str">
        <f>IF('Personnel Yr 1'!$K$5&gt;3,IF(AND(OR(ISBLANK(I9),I9=""),ISBLANK('Personnel Yr 3'!J9)),"",'Personnel Yr 3'!J9),"")</f>
        <v/>
      </c>
      <c r="K9" s="17" t="str">
        <f>IF('Personnel Yr 1'!$K$5&gt;3,IF(AND(OR(ISBLANK(J9),J9=""),ISBLANK('Personnel Yr 3'!K9)),"",'Personnel Yr 3'!K9),"")</f>
        <v/>
      </c>
      <c r="L9" s="17" t="str">
        <f>IF('Personnel Yr 1'!$K$5&gt;3,IF(AND(OR(ISBLANK(K9),K9=""),ISBLANK('Personnel Yr 3'!L9)),"",'Personnel Yr 3'!L9),"")</f>
        <v/>
      </c>
      <c r="M9" s="34" t="str">
        <f>IF('Personnel Yr 1'!$K$5&gt;3,IF(NOT(OR(ISBLANK(I9),I9="")), IF(OR(AND(ISBLANK(J9),ISBLANK(K9),ISBLANK(L9)),AND(J9="",K9="",L9="")),0, IF((AND((J9&gt;0),((K9+L9)&gt;0))),"Error", IF((J9&gt;0),ROUND((IF(AND('Personnel Yr 1'!$P$5&gt;0,I9&gt;'Personnel Yr 1'!$P$5),'Personnel Yr 1'!$P$5,I9)*(J9/12)),2),ROUND((IF(AND('Personnel Yr 1'!$P$5&gt;0,I9&gt;'Personnel Yr 1'!$P$5),'Personnel Yr 1'!$P$5,I9)*((K9+L9)/8.5)),2)))),""),"")</f>
        <v/>
      </c>
      <c r="N9" s="34" t="str">
        <f>IF('Personnel Yr 1'!$K$5&gt;3,IF(OR(ISBLANK(M9),M9=""),"",ROUND(SUM(U9:W9),2)),"")</f>
        <v/>
      </c>
      <c r="O9" s="41" t="str">
        <f>IF('Personnel Yr 1'!$K$5&gt;3,IF(OR(ISBLANK(N9),N9=""),"",ROUND(SUM(M9:N9),2)),"")</f>
        <v/>
      </c>
      <c r="P9" s="187"/>
      <c r="Q9" s="335">
        <f>IF('Personnel Yr 1'!$K$5&gt;3,IF(NOT(OR(ISBLANK(J9),J9="")),(I9/12)*J9,""),0)</f>
        <v>0</v>
      </c>
      <c r="R9" s="335">
        <f>IF('Personnel Yr 1'!$K$5&gt;3,IF(NOT(OR(ISBLANK(K9),K9="")),(I9/8.5)*K9,""),0)</f>
        <v>0</v>
      </c>
      <c r="S9" s="335">
        <f>IF('Personnel Yr 1'!$K$5&gt;3,IF(NOT(OR(ISBLANK(L9),L9="")),(I9/8.5)*L9,""),0)</f>
        <v>0</v>
      </c>
      <c r="U9" s="335">
        <f t="shared" si="0"/>
        <v>0</v>
      </c>
      <c r="V9" s="335">
        <f t="shared" si="1"/>
        <v>0</v>
      </c>
      <c r="W9" s="335">
        <f t="shared" si="2"/>
        <v>0</v>
      </c>
      <c r="Y9" s="335">
        <v>9</v>
      </c>
      <c r="Z9" s="335" t="b">
        <f>IF('Personnel Yr 1'!$K$5&gt;3,IF(OR($O$5&lt;&gt;"Federal - NIH",OR(AND(ISBLANK(J9),ISBLANK(K9),ISBLANK(L9)),AND(J9="",K9="",L9=""))),FALSE,IF(J9&gt;0,I9&gt;NIHSalaryCap,I9&gt;(NIHSalaryCap*8.5)/12)),FALSE)</f>
        <v>0</v>
      </c>
    </row>
    <row r="10" spans="1:26" x14ac:dyDescent="0.2">
      <c r="A10" s="4">
        <v>4</v>
      </c>
      <c r="B10" s="5" t="str">
        <f>IF('Personnel Yr 1'!$K$5&gt;3,IF(NOT(OR(ISBLANK('Personnel Yr 3'!B10),'Personnel Yr 3'!B10="")),'Personnel Yr 3'!B10,""),"")</f>
        <v/>
      </c>
      <c r="C10" s="17" t="str">
        <f>IF('Personnel Yr 1'!$K$5&gt;3,IF(ISBLANK('Personnel Yr 3'!C10),"",'Personnel Yr 3'!C10),"")</f>
        <v/>
      </c>
      <c r="D10" s="17" t="str">
        <f>IF('Personnel Yr 1'!$K$5&gt;3,IF(ISBLANK('Personnel Yr 3'!D10),"",'Personnel Yr 3'!D10),"")</f>
        <v/>
      </c>
      <c r="E10" s="17" t="str">
        <f>IF('Personnel Yr 1'!$K$5&gt;3,IF(ISBLANK('Personnel Yr 3'!E10),"",'Personnel Yr 3'!E10),"")</f>
        <v/>
      </c>
      <c r="F10" s="17" t="str">
        <f>IF('Personnel Yr 1'!$K$5&gt;3,IF(ISBLANK('Personnel Yr 3'!F10),"",'Personnel Yr 3'!F10),"")</f>
        <v/>
      </c>
      <c r="G10" s="17" t="str">
        <f>IF('Personnel Yr 1'!$K$5&gt;3,IF(ISBLANK('Personnel Yr 3'!G10),"",'Personnel Yr 3'!G10),"")</f>
        <v/>
      </c>
      <c r="H10" s="17" t="str">
        <f>IF('Personnel Yr 1'!$K$5&gt;3,IF(ISBLANK('Personnel Yr 3'!H10),"",'Personnel Yr 3'!H10),"")</f>
        <v/>
      </c>
      <c r="I10" s="32" t="str">
        <f>IF('Personnel Yr 1'!$K$5&gt;3,IF(NOT(OR(ISBLANK('Personnel Yr 3'!I10),'Personnel Yr 3'!I10="")),(('Personnel Yr 3'!I10*'Personnel Yr 1'!$D$5)+'Personnel Yr 3'!I10),""),"")</f>
        <v/>
      </c>
      <c r="J10" s="17" t="str">
        <f>IF('Personnel Yr 1'!$K$5&gt;3,IF(AND(OR(ISBLANK(I10),I10=""),ISBLANK('Personnel Yr 3'!J10)),"",'Personnel Yr 3'!J10),"")</f>
        <v/>
      </c>
      <c r="K10" s="17" t="str">
        <f>IF('Personnel Yr 1'!$K$5&gt;3,IF(AND(OR(ISBLANK(J10),J10=""),ISBLANK('Personnel Yr 3'!K10)),"",'Personnel Yr 3'!K10),"")</f>
        <v/>
      </c>
      <c r="L10" s="17" t="str">
        <f>IF('Personnel Yr 1'!$K$5&gt;3,IF(AND(OR(ISBLANK(K10),K10=""),ISBLANK('Personnel Yr 3'!L10)),"",'Personnel Yr 3'!L10),"")</f>
        <v/>
      </c>
      <c r="M10" s="34" t="str">
        <f>IF('Personnel Yr 1'!$K$5&gt;3,IF(NOT(OR(ISBLANK(I10),I10="")), IF(OR(AND(ISBLANK(J10),ISBLANK(K10),ISBLANK(L10)),AND(J10="",K10="",L10="")),0, IF((AND((J10&gt;0),((K10+L10)&gt;0))),"Error", IF((J10&gt;0),ROUND((IF(AND('Personnel Yr 1'!$P$5&gt;0,I10&gt;'Personnel Yr 1'!$P$5),'Personnel Yr 1'!$P$5,I10)*(J10/12)),2),ROUND((IF(AND('Personnel Yr 1'!$P$5&gt;0,I10&gt;'Personnel Yr 1'!$P$5),'Personnel Yr 1'!$P$5,I10)*((K10+L10)/8.5)),2)))),""),"")</f>
        <v/>
      </c>
      <c r="N10" s="34" t="str">
        <f>IF('Personnel Yr 1'!$K$5&gt;3,IF(OR(ISBLANK(M10),M10=""),"",ROUND(SUM(U10:W10),2)),"")</f>
        <v/>
      </c>
      <c r="O10" s="41" t="str">
        <f>IF('Personnel Yr 1'!$K$5&gt;3,IF(OR(ISBLANK(N10),N10=""),"",ROUND(SUM(M10:N10),2)),"")</f>
        <v/>
      </c>
      <c r="P10" s="188"/>
      <c r="Q10" s="335">
        <f>IF('Personnel Yr 1'!$K$5&gt;3,IF(NOT(OR(ISBLANK(J10),J10="")),(I10/12)*J10,""),0)</f>
        <v>0</v>
      </c>
      <c r="R10" s="335">
        <f>IF('Personnel Yr 1'!$K$5&gt;3,IF(NOT(OR(ISBLANK(K10),K10="")),(I10/8.5)*K10,""),0)</f>
        <v>0</v>
      </c>
      <c r="S10" s="335">
        <f>IF('Personnel Yr 1'!$K$5&gt;3,IF(NOT(OR(ISBLANK(L10),L10="")),(I10/8.5)*L10,""),0)</f>
        <v>0</v>
      </c>
      <c r="U10" s="335">
        <f t="shared" si="0"/>
        <v>0</v>
      </c>
      <c r="V10" s="335">
        <f t="shared" si="1"/>
        <v>0</v>
      </c>
      <c r="W10" s="335">
        <f t="shared" si="2"/>
        <v>0</v>
      </c>
      <c r="Y10" s="335">
        <v>10</v>
      </c>
      <c r="Z10" s="335" t="b">
        <f>IF('Personnel Yr 1'!$K$5&gt;3,IF(OR($O$5&lt;&gt;"Federal - NIH",OR(AND(ISBLANK(J10),ISBLANK(K10),ISBLANK(L10)),AND(J10="",K10="",L10=""))),FALSE,IF(J10&gt;0,I10&gt;NIHSalaryCap,I10&gt;(NIHSalaryCap*8.5)/12)),FALSE)</f>
        <v>0</v>
      </c>
    </row>
    <row r="11" spans="1:26" x14ac:dyDescent="0.2">
      <c r="A11" s="4">
        <v>5</v>
      </c>
      <c r="B11" s="5" t="str">
        <f>IF('Personnel Yr 1'!$K$5&gt;3,IF(NOT(OR(ISBLANK('Personnel Yr 3'!B11),'Personnel Yr 3'!B11="")),'Personnel Yr 3'!B11,""),"")</f>
        <v/>
      </c>
      <c r="C11" s="17" t="str">
        <f>IF('Personnel Yr 1'!$K$5&gt;3,IF(ISBLANK('Personnel Yr 3'!C11),"",'Personnel Yr 3'!C11),"")</f>
        <v/>
      </c>
      <c r="D11" s="17" t="str">
        <f>IF('Personnel Yr 1'!$K$5&gt;3,IF(ISBLANK('Personnel Yr 3'!D11),"",'Personnel Yr 3'!D11),"")</f>
        <v/>
      </c>
      <c r="E11" s="17" t="str">
        <f>IF('Personnel Yr 1'!$K$5&gt;3,IF(ISBLANK('Personnel Yr 3'!E11),"",'Personnel Yr 3'!E11),"")</f>
        <v/>
      </c>
      <c r="F11" s="17" t="str">
        <f>IF('Personnel Yr 1'!$K$5&gt;3,IF(ISBLANK('Personnel Yr 3'!F11),"",'Personnel Yr 3'!F11),"")</f>
        <v/>
      </c>
      <c r="G11" s="17" t="str">
        <f>IF('Personnel Yr 1'!$K$5&gt;3,IF(ISBLANK('Personnel Yr 3'!G11),"",'Personnel Yr 3'!G11),"")</f>
        <v/>
      </c>
      <c r="H11" s="17" t="str">
        <f>IF('Personnel Yr 1'!$K$5&gt;3,IF(ISBLANK('Personnel Yr 3'!H11),"",'Personnel Yr 3'!H11),"")</f>
        <v/>
      </c>
      <c r="I11" s="32" t="str">
        <f>IF('Personnel Yr 1'!$K$5&gt;3,IF(NOT(OR(ISBLANK('Personnel Yr 3'!I11),'Personnel Yr 3'!I11="")),(('Personnel Yr 3'!I11*'Personnel Yr 1'!$D$5)+'Personnel Yr 3'!I11),""),"")</f>
        <v/>
      </c>
      <c r="J11" s="17" t="str">
        <f>IF('Personnel Yr 1'!$K$5&gt;3,IF(AND(OR(ISBLANK(I11),I11=""),ISBLANK('Personnel Yr 3'!J11)),"",'Personnel Yr 3'!J11),"")</f>
        <v/>
      </c>
      <c r="K11" s="17" t="str">
        <f>IF('Personnel Yr 1'!$K$5&gt;3,IF(AND(OR(ISBLANK(J11),J11=""),ISBLANK('Personnel Yr 3'!K11)),"",'Personnel Yr 3'!K11),"")</f>
        <v/>
      </c>
      <c r="L11" s="17" t="str">
        <f>IF('Personnel Yr 1'!$K$5&gt;3,IF(AND(OR(ISBLANK(K11),K11=""),ISBLANK('Personnel Yr 3'!L11)),"",'Personnel Yr 3'!L11),"")</f>
        <v/>
      </c>
      <c r="M11" s="34" t="str">
        <f>IF('Personnel Yr 1'!$K$5&gt;3,IF(NOT(OR(ISBLANK(I11),I11="")), IF(OR(AND(ISBLANK(J11),ISBLANK(K11),ISBLANK(L11)),AND(J11="",K11="",L11="")),0, IF((AND((J11&gt;0),((K11+L11)&gt;0))),"Error", IF((J11&gt;0),ROUND((IF(AND('Personnel Yr 1'!$P$5&gt;0,I11&gt;'Personnel Yr 1'!$P$5),'Personnel Yr 1'!$P$5,I11)*(J11/12)),2),ROUND((IF(AND('Personnel Yr 1'!$P$5&gt;0,I11&gt;'Personnel Yr 1'!$P$5),'Personnel Yr 1'!$P$5,I11)*((K11+L11)/8.5)),2)))),""),"")</f>
        <v/>
      </c>
      <c r="N11" s="34" t="str">
        <f>IF('Personnel Yr 1'!$K$5&gt;3,IF(OR(ISBLANK(M11),M11=""),"",ROUND(SUM(U11:W11),2)),"")</f>
        <v/>
      </c>
      <c r="O11" s="41" t="str">
        <f>IF('Personnel Yr 1'!$K$5&gt;3,IF(OR(ISBLANK(N11),N11=""),"",ROUND(SUM(M11:N11),2)),"")</f>
        <v/>
      </c>
      <c r="P11" s="15"/>
      <c r="Q11" s="335">
        <f>IF('Personnel Yr 1'!$K$5&gt;3,IF(NOT(OR(ISBLANK(J11),J11="")),(I11/12)*J11,""),0)</f>
        <v>0</v>
      </c>
      <c r="R11" s="335">
        <f>IF('Personnel Yr 1'!$K$5&gt;3,IF(NOT(OR(ISBLANK(K11),K11="")),(I11/8.5)*K11,""),0)</f>
        <v>0</v>
      </c>
      <c r="S11" s="335">
        <f>IF('Personnel Yr 1'!$K$5&gt;3,IF(NOT(OR(ISBLANK(L11),L11="")),(I11/8.5)*L11,""),0)</f>
        <v>0</v>
      </c>
      <c r="U11" s="335">
        <f t="shared" si="0"/>
        <v>0</v>
      </c>
      <c r="V11" s="335">
        <f t="shared" si="1"/>
        <v>0</v>
      </c>
      <c r="W11" s="335">
        <f t="shared" si="2"/>
        <v>0</v>
      </c>
      <c r="Y11" s="335">
        <v>11</v>
      </c>
      <c r="Z11" s="335" t="b">
        <f>IF('Personnel Yr 1'!$K$5&gt;3,IF(OR($O$5&lt;&gt;"Federal - NIH",OR(AND(ISBLANK(J11),ISBLANK(K11),ISBLANK(L11)),AND(J11="",K11="",L11=""))),FALSE,IF(J11&gt;0,I11&gt;NIHSalaryCap,I11&gt;(NIHSalaryCap*8.5)/12)),FALSE)</f>
        <v>0</v>
      </c>
    </row>
    <row r="12" spans="1:26" x14ac:dyDescent="0.2">
      <c r="A12" s="4">
        <v>6</v>
      </c>
      <c r="B12" s="5" t="str">
        <f>IF('Personnel Yr 1'!$K$5&gt;3,IF(NOT(OR(ISBLANK('Personnel Yr 3'!B12),'Personnel Yr 3'!B12="")),'Personnel Yr 3'!B12,""),"")</f>
        <v/>
      </c>
      <c r="C12" s="17" t="str">
        <f>IF('Personnel Yr 1'!$K$5&gt;3,IF(ISBLANK('Personnel Yr 3'!C12),"",'Personnel Yr 3'!C12),"")</f>
        <v/>
      </c>
      <c r="D12" s="17" t="str">
        <f>IF('Personnel Yr 1'!$K$5&gt;3,IF(ISBLANK('Personnel Yr 3'!D12),"",'Personnel Yr 3'!D12),"")</f>
        <v/>
      </c>
      <c r="E12" s="17" t="str">
        <f>IF('Personnel Yr 1'!$K$5&gt;3,IF(ISBLANK('Personnel Yr 3'!E12),"",'Personnel Yr 3'!E12),"")</f>
        <v/>
      </c>
      <c r="F12" s="17" t="str">
        <f>IF('Personnel Yr 1'!$K$5&gt;3,IF(ISBLANK('Personnel Yr 3'!F12),"",'Personnel Yr 3'!F12),"")</f>
        <v/>
      </c>
      <c r="G12" s="17" t="str">
        <f>IF('Personnel Yr 1'!$K$5&gt;3,IF(ISBLANK('Personnel Yr 3'!G12),"",'Personnel Yr 3'!G12),"")</f>
        <v/>
      </c>
      <c r="H12" s="17" t="str">
        <f>IF('Personnel Yr 1'!$K$5&gt;3,IF(ISBLANK('Personnel Yr 3'!H12),"",'Personnel Yr 3'!H12),"")</f>
        <v/>
      </c>
      <c r="I12" s="32" t="str">
        <f>IF('Personnel Yr 1'!$K$5&gt;3,IF(NOT(OR(ISBLANK('Personnel Yr 3'!I12),'Personnel Yr 3'!I12="")),(('Personnel Yr 3'!I12*'Personnel Yr 1'!$D$5)+'Personnel Yr 3'!I12),""),"")</f>
        <v/>
      </c>
      <c r="J12" s="17" t="str">
        <f>IF('Personnel Yr 1'!$K$5&gt;3,IF(AND(OR(ISBLANK(I12),I12=""),ISBLANK('Personnel Yr 3'!J12)),"",'Personnel Yr 3'!J12),"")</f>
        <v/>
      </c>
      <c r="K12" s="17" t="str">
        <f>IF('Personnel Yr 1'!$K$5&gt;3,IF(AND(OR(ISBLANK(J12),J12=""),ISBLANK('Personnel Yr 3'!K12)),"",'Personnel Yr 3'!K12),"")</f>
        <v/>
      </c>
      <c r="L12" s="17" t="str">
        <f>IF('Personnel Yr 1'!$K$5&gt;3,IF(AND(OR(ISBLANK(K12),K12=""),ISBLANK('Personnel Yr 3'!L12)),"",'Personnel Yr 3'!L12),"")</f>
        <v/>
      </c>
      <c r="M12" s="34" t="str">
        <f>IF('Personnel Yr 1'!$K$5&gt;3,IF(NOT(OR(ISBLANK(I12),I12="")), IF(OR(AND(ISBLANK(J12),ISBLANK(K12),ISBLANK(L12)),AND(J12="",K12="",L12="")),0, IF((AND((J12&gt;0),((K12+L12)&gt;0))),"Error", IF((J12&gt;0),ROUND((IF(AND('Personnel Yr 1'!$P$5&gt;0,I12&gt;'Personnel Yr 1'!$P$5),'Personnel Yr 1'!$P$5,I12)*(J12/12)),2),ROUND((IF(AND('Personnel Yr 1'!$P$5&gt;0,I12&gt;'Personnel Yr 1'!$P$5),'Personnel Yr 1'!$P$5,I12)*((K12+L12)/8.5)),2)))),""),"")</f>
        <v/>
      </c>
      <c r="N12" s="34" t="str">
        <f>IF('Personnel Yr 1'!$K$5&gt;3,IF(OR(ISBLANK(M12),M12=""),"",ROUND(SUM(U12:W12),2)),"")</f>
        <v/>
      </c>
      <c r="O12" s="41" t="str">
        <f>IF('Personnel Yr 1'!$K$5&gt;3,IF(OR(ISBLANK(N12),N12=""),"",ROUND(SUM(M12:N12),2)),"")</f>
        <v/>
      </c>
      <c r="P12" s="15"/>
      <c r="Q12" s="335">
        <f>IF('Personnel Yr 1'!$K$5&gt;3,IF(NOT(OR(ISBLANK(J12),J12="")),(I12/12)*J12,""),0)</f>
        <v>0</v>
      </c>
      <c r="R12" s="335">
        <f>IF('Personnel Yr 1'!$K$5&gt;3,IF(NOT(OR(ISBLANK(K12),K12="")),(I12/8.5)*K12,""),0)</f>
        <v>0</v>
      </c>
      <c r="S12" s="335">
        <f>IF('Personnel Yr 1'!$K$5&gt;3,IF(NOT(OR(ISBLANK(L12),L12="")),(I12/8.5)*L12,""),0)</f>
        <v>0</v>
      </c>
      <c r="U12" s="335">
        <f t="shared" si="0"/>
        <v>0</v>
      </c>
      <c r="V12" s="335">
        <f t="shared" si="1"/>
        <v>0</v>
      </c>
      <c r="W12" s="335">
        <f t="shared" si="2"/>
        <v>0</v>
      </c>
      <c r="Y12" s="335">
        <v>12</v>
      </c>
      <c r="Z12" s="335" t="b">
        <f>IF('Personnel Yr 1'!$K$5&gt;3,IF(OR($O$5&lt;&gt;"Federal - NIH",OR(AND(ISBLANK(J12),ISBLANK(K12),ISBLANK(L12)),AND(J12="",K12="",L12=""))),FALSE,IF(J12&gt;0,I12&gt;NIHSalaryCap,I12&gt;(NIHSalaryCap*8.5)/12)),FALSE)</f>
        <v>0</v>
      </c>
    </row>
    <row r="13" spans="1:26" x14ac:dyDescent="0.2">
      <c r="A13" s="4">
        <v>7</v>
      </c>
      <c r="B13" s="5" t="str">
        <f>IF('Personnel Yr 1'!$K$5&gt;3,IF(NOT(OR(ISBLANK('Personnel Yr 3'!B13),'Personnel Yr 3'!B13="")),'Personnel Yr 3'!B13,""),"")</f>
        <v/>
      </c>
      <c r="C13" s="17" t="str">
        <f>IF('Personnel Yr 1'!$K$5&gt;3,IF(ISBLANK('Personnel Yr 3'!C13),"",'Personnel Yr 3'!C13),"")</f>
        <v/>
      </c>
      <c r="D13" s="17" t="str">
        <f>IF('Personnel Yr 1'!$K$5&gt;3,IF(ISBLANK('Personnel Yr 3'!D13),"",'Personnel Yr 3'!D13),"")</f>
        <v/>
      </c>
      <c r="E13" s="17" t="str">
        <f>IF('Personnel Yr 1'!$K$5&gt;3,IF(ISBLANK('Personnel Yr 3'!E13),"",'Personnel Yr 3'!E13),"")</f>
        <v/>
      </c>
      <c r="F13" s="17" t="str">
        <f>IF('Personnel Yr 1'!$K$5&gt;3,IF(ISBLANK('Personnel Yr 3'!F13),"",'Personnel Yr 3'!F13),"")</f>
        <v/>
      </c>
      <c r="G13" s="17" t="str">
        <f>IF('Personnel Yr 1'!$K$5&gt;3,IF(ISBLANK('Personnel Yr 3'!G13),"",'Personnel Yr 3'!G13),"")</f>
        <v/>
      </c>
      <c r="H13" s="17" t="str">
        <f>IF('Personnel Yr 1'!$K$5&gt;3,IF(ISBLANK('Personnel Yr 3'!H13),"",'Personnel Yr 3'!H13),"")</f>
        <v/>
      </c>
      <c r="I13" s="32" t="str">
        <f>IF('Personnel Yr 1'!$K$5&gt;3,IF(NOT(OR(ISBLANK('Personnel Yr 3'!I13),'Personnel Yr 3'!I13="")),(('Personnel Yr 3'!I13*'Personnel Yr 1'!$D$5)+'Personnel Yr 3'!I13),""),"")</f>
        <v/>
      </c>
      <c r="J13" s="17" t="str">
        <f>IF('Personnel Yr 1'!$K$5&gt;3,IF(AND(OR(ISBLANK(I13),I13=""),ISBLANK('Personnel Yr 3'!J13)),"",'Personnel Yr 3'!J13),"")</f>
        <v/>
      </c>
      <c r="K13" s="17" t="str">
        <f>IF('Personnel Yr 1'!$K$5&gt;3,IF(AND(OR(ISBLANK(J13),J13=""),ISBLANK('Personnel Yr 3'!K13)),"",'Personnel Yr 3'!K13),"")</f>
        <v/>
      </c>
      <c r="L13" s="17" t="str">
        <f>IF('Personnel Yr 1'!$K$5&gt;3,IF(AND(OR(ISBLANK(K13),K13=""),ISBLANK('Personnel Yr 3'!L13)),"",'Personnel Yr 3'!L13),"")</f>
        <v/>
      </c>
      <c r="M13" s="34" t="str">
        <f>IF('Personnel Yr 1'!$K$5&gt;3,IF(NOT(OR(ISBLANK(I13),I13="")), IF(OR(AND(ISBLANK(J13),ISBLANK(K13),ISBLANK(L13)),AND(J13="",K13="",L13="")),0, IF((AND((J13&gt;0),((K13+L13)&gt;0))),"Error", IF((J13&gt;0),ROUND((IF(AND('Personnel Yr 1'!$P$5&gt;0,I13&gt;'Personnel Yr 1'!$P$5),'Personnel Yr 1'!$P$5,I13)*(J13/12)),2),ROUND((IF(AND('Personnel Yr 1'!$P$5&gt;0,I13&gt;'Personnel Yr 1'!$P$5),'Personnel Yr 1'!$P$5,I13)*((K13+L13)/8.5)),2)))),""),"")</f>
        <v/>
      </c>
      <c r="N13" s="34" t="str">
        <f>IF('Personnel Yr 1'!$K$5&gt;3,IF(OR(ISBLANK(M13),M13=""),"",ROUND(SUM(U13:W13),2)),"")</f>
        <v/>
      </c>
      <c r="O13" s="41" t="str">
        <f>IF('Personnel Yr 1'!$K$5&gt;3,IF(OR(ISBLANK(N13),N13=""),"",ROUND(SUM(M13:N13),2)),"")</f>
        <v/>
      </c>
      <c r="P13" s="187"/>
      <c r="Q13" s="335">
        <f>IF('Personnel Yr 1'!$K$5&gt;3,IF(NOT(OR(ISBLANK(J13),J13="")),(I13/12)*J13,""),0)</f>
        <v>0</v>
      </c>
      <c r="R13" s="335">
        <f>IF('Personnel Yr 1'!$K$5&gt;3,IF(NOT(OR(ISBLANK(K13),K13="")),(I13/8.5)*K13,""),0)</f>
        <v>0</v>
      </c>
      <c r="S13" s="335">
        <f>IF('Personnel Yr 1'!$K$5&gt;3,IF(NOT(OR(ISBLANK(L13),L13="")),(I13/8.5)*L13,""),0)</f>
        <v>0</v>
      </c>
      <c r="U13" s="335">
        <f t="shared" si="0"/>
        <v>0</v>
      </c>
      <c r="V13" s="335">
        <f t="shared" si="1"/>
        <v>0</v>
      </c>
      <c r="W13" s="335">
        <f t="shared" si="2"/>
        <v>0</v>
      </c>
      <c r="Y13" s="335">
        <v>13</v>
      </c>
      <c r="Z13" s="335" t="b">
        <f>IF('Personnel Yr 1'!$K$5&gt;3,IF(OR($O$5&lt;&gt;"Federal - NIH",OR(AND(ISBLANK(J13),ISBLANK(K13),ISBLANK(L13)),AND(J13="",K13="",L13=""))),FALSE,IF(J13&gt;0,I13&gt;NIHSalaryCap,I13&gt;(NIHSalaryCap*8.5)/12)),FALSE)</f>
        <v>0</v>
      </c>
    </row>
    <row r="14" spans="1:26" ht="13.5" thickBot="1" x14ac:dyDescent="0.25">
      <c r="A14" s="4">
        <v>8</v>
      </c>
      <c r="B14" s="6" t="str">
        <f>IF('Personnel Yr 1'!$K$5&gt;3,IF(NOT(OR(ISBLANK('Personnel Yr 3'!B14),'Personnel Yr 3'!B14="")),'Personnel Yr 3'!B14,""),"")</f>
        <v/>
      </c>
      <c r="C14" s="22" t="str">
        <f>IF('Personnel Yr 1'!$K$5&gt;3,IF(ISBLANK('Personnel Yr 3'!C14),"",'Personnel Yr 3'!C14),"")</f>
        <v/>
      </c>
      <c r="D14" s="22" t="str">
        <f>IF('Personnel Yr 1'!$K$5&gt;3,IF(ISBLANK('Personnel Yr 3'!D14),"",'Personnel Yr 3'!D14),"")</f>
        <v/>
      </c>
      <c r="E14" s="22" t="str">
        <f>IF('Personnel Yr 1'!$K$5&gt;3,IF(ISBLANK('Personnel Yr 3'!E14),"",'Personnel Yr 3'!E14),"")</f>
        <v/>
      </c>
      <c r="F14" s="22" t="str">
        <f>IF('Personnel Yr 1'!$K$5&gt;3,IF(ISBLANK('Personnel Yr 3'!F14),"",'Personnel Yr 3'!F14),"")</f>
        <v/>
      </c>
      <c r="G14" s="22" t="str">
        <f>IF('Personnel Yr 1'!$K$5&gt;3,IF(ISBLANK('Personnel Yr 3'!G14),"",'Personnel Yr 3'!G14),"")</f>
        <v/>
      </c>
      <c r="H14" s="22" t="str">
        <f>IF('Personnel Yr 1'!$K$5&gt;3,IF(ISBLANK('Personnel Yr 3'!H14),"",'Personnel Yr 3'!H14),"")</f>
        <v/>
      </c>
      <c r="I14" s="33" t="str">
        <f>IF('Personnel Yr 1'!$K$5&gt;3,IF(NOT(OR(ISBLANK('Personnel Yr 3'!I14),'Personnel Yr 3'!I14="")),(('Personnel Yr 3'!I14*'Personnel Yr 1'!$D$5)+'Personnel Yr 3'!I14),""),"")</f>
        <v/>
      </c>
      <c r="J14" s="22" t="str">
        <f>IF('Personnel Yr 1'!$K$5&gt;3,IF(AND(OR(ISBLANK(I14),I14=""),ISBLANK('Personnel Yr 3'!J14)),"",'Personnel Yr 3'!J14),"")</f>
        <v/>
      </c>
      <c r="K14" s="22" t="str">
        <f>IF('Personnel Yr 1'!$K$5&gt;3,IF(AND(OR(ISBLANK(J14),J14=""),ISBLANK('Personnel Yr 3'!K14)),"",'Personnel Yr 3'!K14),"")</f>
        <v/>
      </c>
      <c r="L14" s="22" t="str">
        <f>IF('Personnel Yr 1'!$K$5&gt;3,IF(AND(OR(ISBLANK(K14),K14=""),ISBLANK('Personnel Yr 3'!L14)),"",'Personnel Yr 3'!L14),"")</f>
        <v/>
      </c>
      <c r="M14" s="42" t="str">
        <f>IF('Personnel Yr 1'!$K$5&gt;3,IF(NOT(OR(ISBLANK(I14),I14="")), IF(OR(AND(ISBLANK(J14),ISBLANK(K14),ISBLANK(L14)),AND(J14="",K14="",L14="")),0, IF((AND((J14&gt;0),((K14+L14)&gt;0))),"Error", IF((J14&gt;0),ROUND((IF(AND('Personnel Yr 1'!$P$5&gt;0,I14&gt;'Personnel Yr 1'!$P$5),'Personnel Yr 1'!$P$5,I14)*(J14/12)),2),ROUND((IF(AND('Personnel Yr 1'!$P$5&gt;0,I14&gt;'Personnel Yr 1'!$P$5),'Personnel Yr 1'!$P$5,I14)*((K14+L14)/8.5)),2)))),""),"")</f>
        <v/>
      </c>
      <c r="N14" s="39" t="str">
        <f>IF('Personnel Yr 1'!$K$5&gt;3,IF(OR(ISBLANK(M14),M14=""),"",ROUND(SUM(U14:W14),2)),"")</f>
        <v/>
      </c>
      <c r="O14" s="40" t="str">
        <f>IF('Personnel Yr 1'!$K$5&gt;3,IF(OR(ISBLANK(N14),N14=""),"",ROUND(SUM(M14:N14),2)),"")</f>
        <v/>
      </c>
      <c r="P14" s="189"/>
      <c r="Q14" s="335">
        <f>IF('Personnel Yr 1'!$K$5&gt;3,IF(NOT(OR(ISBLANK(J14),J14="")),(I14/12)*J14,""),0)</f>
        <v>0</v>
      </c>
      <c r="R14" s="335">
        <f>IF('Personnel Yr 1'!$K$5&gt;3,IF(NOT(OR(ISBLANK(K14),K14="")),(I14/8.5)*K14,""),0)</f>
        <v>0</v>
      </c>
      <c r="S14" s="335">
        <f>IF('Personnel Yr 1'!$K$5&gt;3,IF(NOT(OR(ISBLANK(L14),L14="")),(I14/8.5)*L14,""),0)</f>
        <v>0</v>
      </c>
      <c r="U14" s="335">
        <f t="shared" si="0"/>
        <v>0</v>
      </c>
      <c r="V14" s="335">
        <f t="shared" si="1"/>
        <v>0</v>
      </c>
      <c r="W14" s="335">
        <f t="shared" si="2"/>
        <v>0</v>
      </c>
      <c r="Y14" s="335">
        <v>14</v>
      </c>
      <c r="Z14" s="335" t="b">
        <f>IF('Personnel Yr 1'!$K$5&gt;3,IF(OR($O$5&lt;&gt;"Federal - NIH",OR(AND(ISBLANK(J14),ISBLANK(K14),ISBLANK(L14)),AND(J14="",K14="",L14=""))),FALSE,IF(J14&gt;0,I14&gt;NIHSalaryCap,I14&gt;(NIHSalaryCap*8.5)/12)),FALSE)</f>
        <v>0</v>
      </c>
    </row>
    <row r="15" spans="1:26" ht="13.5" thickBot="1" x14ac:dyDescent="0.25">
      <c r="A15" s="4">
        <v>9</v>
      </c>
      <c r="B15" s="20">
        <f>B35</f>
        <v>0</v>
      </c>
      <c r="C15" s="540" t="s">
        <v>49</v>
      </c>
      <c r="D15" s="540"/>
      <c r="E15" s="540"/>
      <c r="F15" s="540"/>
      <c r="G15" s="543" t="s">
        <v>59</v>
      </c>
      <c r="H15" s="513"/>
      <c r="I15" s="543"/>
      <c r="J15" s="543"/>
      <c r="K15" s="543"/>
      <c r="L15" s="543"/>
      <c r="M15" s="543"/>
      <c r="N15" s="544"/>
      <c r="O15" s="45">
        <f>O35</f>
        <v>0</v>
      </c>
      <c r="Q15" s="335">
        <f>SUM(Q7:Q14)</f>
        <v>0</v>
      </c>
      <c r="R15" s="335">
        <f t="shared" ref="R15:W15" si="3">SUM(R7:R14)</f>
        <v>0</v>
      </c>
      <c r="S15" s="335">
        <f t="shared" si="3"/>
        <v>0</v>
      </c>
      <c r="U15" s="335">
        <f t="shared" si="3"/>
        <v>0</v>
      </c>
      <c r="V15" s="335">
        <f t="shared" si="3"/>
        <v>0</v>
      </c>
      <c r="W15" s="335">
        <f t="shared" si="3"/>
        <v>0</v>
      </c>
    </row>
    <row r="16" spans="1:26" ht="13.5" thickBot="1" x14ac:dyDescent="0.25">
      <c r="B16" s="20">
        <f>SUM(ROWS(E7:E14)-COUNTIF(E7:E14,""),B15)</f>
        <v>0</v>
      </c>
      <c r="C16" s="515" t="s">
        <v>48</v>
      </c>
      <c r="D16" s="516"/>
      <c r="E16" s="516"/>
      <c r="F16" s="516"/>
      <c r="I16" s="8"/>
      <c r="J16" s="8"/>
      <c r="K16" s="513" t="s">
        <v>31</v>
      </c>
      <c r="L16" s="513"/>
      <c r="M16" s="513"/>
      <c r="N16" s="514"/>
      <c r="O16" s="38">
        <f>SUM(O7:O15)</f>
        <v>0</v>
      </c>
    </row>
    <row r="17" spans="1:26" x14ac:dyDescent="0.2">
      <c r="I17" s="8"/>
      <c r="J17" s="8"/>
      <c r="K17" s="9"/>
      <c r="L17" s="9"/>
      <c r="M17" s="9"/>
      <c r="N17" s="9"/>
      <c r="O17" s="8"/>
    </row>
    <row r="18" spans="1:26" x14ac:dyDescent="0.2">
      <c r="B18" s="498" t="s">
        <v>232</v>
      </c>
      <c r="C18" s="498"/>
      <c r="D18" s="498"/>
    </row>
    <row r="19" spans="1:26" ht="26.25" thickBot="1" x14ac:dyDescent="0.25">
      <c r="B19" s="2" t="s">
        <v>0</v>
      </c>
      <c r="C19" s="2" t="s">
        <v>1</v>
      </c>
      <c r="D19" s="2" t="s">
        <v>2</v>
      </c>
      <c r="E19" s="2" t="s">
        <v>3</v>
      </c>
      <c r="F19" s="2" t="s">
        <v>4</v>
      </c>
      <c r="G19" s="2" t="s">
        <v>39</v>
      </c>
      <c r="H19" s="2" t="s">
        <v>532</v>
      </c>
      <c r="I19" s="2" t="s">
        <v>40</v>
      </c>
      <c r="J19" s="2" t="s">
        <v>56</v>
      </c>
      <c r="K19" s="2" t="s">
        <v>57</v>
      </c>
      <c r="L19" s="2" t="s">
        <v>58</v>
      </c>
      <c r="M19" s="3" t="s">
        <v>41</v>
      </c>
      <c r="N19" s="2" t="s">
        <v>42</v>
      </c>
      <c r="O19" s="2" t="s">
        <v>38</v>
      </c>
      <c r="P19" s="2" t="s">
        <v>224</v>
      </c>
      <c r="Q19" s="334" t="s">
        <v>62</v>
      </c>
      <c r="R19" s="334" t="s">
        <v>63</v>
      </c>
      <c r="S19" s="334" t="s">
        <v>64</v>
      </c>
      <c r="U19" s="334" t="s">
        <v>62</v>
      </c>
      <c r="V19" s="334" t="s">
        <v>63</v>
      </c>
      <c r="W19" s="334" t="s">
        <v>64</v>
      </c>
      <c r="Z19" s="335" t="s">
        <v>449</v>
      </c>
    </row>
    <row r="20" spans="1:26" x14ac:dyDescent="0.2">
      <c r="A20" s="4">
        <v>1</v>
      </c>
      <c r="B20" s="21" t="str">
        <f>IF('Personnel Yr 1'!$K$5&gt;3,IF(NOT(OR(ISBLANK('Personnel Yr 3'!B20),'Personnel Yr 3'!B20="")),'Personnel Yr 3'!B20,""),"")</f>
        <v/>
      </c>
      <c r="C20" s="13" t="str">
        <f>IF('Personnel Yr 1'!$K$5&gt;3,IF(ISBLANK('Personnel Yr 3'!C20),"",'Personnel Yr 3'!C20),"")</f>
        <v/>
      </c>
      <c r="D20" s="13" t="str">
        <f>IF('Personnel Yr 1'!$K$5&gt;3,IF(ISBLANK('Personnel Yr 3'!D20),"",'Personnel Yr 3'!D20),"")</f>
        <v/>
      </c>
      <c r="E20" s="209" t="str">
        <f>IF('Personnel Yr 1'!$K$5&gt;3,IF(ISBLANK('Personnel Yr 3'!E20),"",'Personnel Yr 3'!E20),"")</f>
        <v/>
      </c>
      <c r="F20" s="13" t="str">
        <f>IF('Personnel Yr 1'!$K$5&gt;3,IF(ISBLANK('Personnel Yr 3'!F20),"",'Personnel Yr 3'!F20),"")</f>
        <v/>
      </c>
      <c r="G20" s="203" t="str">
        <f>IF('Personnel Yr 1'!$K$5&gt;3,IF(ISBLANK('Personnel Yr 3'!G20),"",'Personnel Yr 3'!G20),"")</f>
        <v/>
      </c>
      <c r="H20" s="13" t="str">
        <f>IF('Personnel Yr 1'!$K$5&gt;3,IF(ISBLANK('Personnel Yr 3'!H20),"",'Personnel Yr 3'!H20),"")</f>
        <v/>
      </c>
      <c r="I20" s="204" t="str">
        <f>IF('Personnel Yr 1'!$K$5&gt;3,IF(NOT(OR(ISBLANK('Personnel Yr 3'!I20),'Personnel Yr 3'!I20="")),(('Personnel Yr 3'!I20*'Personnel Yr 1'!$D$5)+'Personnel Yr 3'!I20),""),"")</f>
        <v/>
      </c>
      <c r="J20" s="13" t="str">
        <f>IF('Personnel Yr 1'!$K$5&gt;3,IF(AND(OR(ISBLANK(I20),I20=""),ISBLANK('Personnel Yr 3'!J20)),"",'Personnel Yr 3'!J20),"")</f>
        <v/>
      </c>
      <c r="K20" s="13" t="str">
        <f>IF('Personnel Yr 1'!$K$5&gt;3,IF(AND(OR(ISBLANK(J20),J20=""),ISBLANK('Personnel Yr 3'!K20)),"",'Personnel Yr 3'!K20),"")</f>
        <v/>
      </c>
      <c r="L20" s="13" t="str">
        <f>IF('Personnel Yr 1'!$K$5&gt;3,IF(AND(OR(ISBLANK(K20),K20=""),ISBLANK('Personnel Yr 3'!L20)),"",'Personnel Yr 3'!L20),"")</f>
        <v/>
      </c>
      <c r="M20" s="35" t="str">
        <f>IF('Personnel Yr 1'!$K$5&gt;3,IF(NOT(OR(ISBLANK(I20),I20="")), IF(OR(AND(ISBLANK(J20),ISBLANK(K20),ISBLANK(L20)),AND(J20="",K20="",L20="")),0, IF((AND((J20&gt;0),((K20+L20)&gt;0))),"Error", IF((J20&gt;0),ROUND((IF(AND('Personnel Yr 1'!$P$5&gt;0,I20&gt;'Personnel Yr 1'!$P$5),'Personnel Yr 1'!$P$5,I20)*(J20/12)),2),ROUND((IF(AND('Personnel Yr 1'!$P$5&gt;0,I20&gt;'Personnel Yr 1'!$P$5),'Personnel Yr 1'!$P$5,I20)*((K20+L20)/8.5)),2)))),""),"")</f>
        <v/>
      </c>
      <c r="N20" s="35" t="str">
        <f>IF('Personnel Yr 1'!$K$5&gt;3,IF(OR(ISBLANK(M20),M20=""),"",ROUND(SUM(U20:W20),2)),"")</f>
        <v/>
      </c>
      <c r="O20" s="36" t="str">
        <f>IF('Personnel Yr 1'!$K$5&gt;3,IF(OR(ISBLANK(N20),N20=""),"",ROUND(SUM(M20:N20),2)),"")</f>
        <v/>
      </c>
      <c r="P20" s="12"/>
      <c r="Q20" s="335">
        <f>IF('Personnel Yr 1'!$K$5&gt;3,IF(NOT(OR(ISBLANK(J20),J20="")),(I20/12)*J20,""),0)</f>
        <v>0</v>
      </c>
      <c r="R20" s="336">
        <f>IF('Personnel Yr 1'!$K$5&gt;3,IF(NOT(OR(ISBLANK(K20),K20="")),(I20/8.5)*K20,""),0)</f>
        <v>0</v>
      </c>
      <c r="S20" s="335">
        <f>IF('Personnel Yr 1'!$K$5&gt;3,IF(NOT(OR(ISBLANK(L20),L20="")),(I20/8.5)*L20,""),0)</f>
        <v>0</v>
      </c>
      <c r="U20" s="335">
        <f t="shared" ref="U20:U34" si="4">IF(OR(ISBLANK(Q20),Q20=""),0,Q20*_xlfn.XLOOKUP("*"&amp;H20&amp;"*",BenB,Per,,2))</f>
        <v>0</v>
      </c>
      <c r="V20" s="335">
        <f t="shared" ref="V20:V34" si="5">IF(OR(ISBLANK(R20),R20=""),0,R20*_xlfn.XLOOKUP("*"&amp;H20&amp;"*",BenB,Per,,2))</f>
        <v>0</v>
      </c>
      <c r="W20" s="335">
        <f t="shared" ref="W20:W34" si="6">IF(OR(ISBLANK(S20),S20=""),0,S20*_xlfn.XLOOKUP("Summer",Ben,Per))</f>
        <v>0</v>
      </c>
      <c r="Y20" s="335">
        <v>20</v>
      </c>
      <c r="Z20" s="335" t="b">
        <f>IF('Personnel Yr 1'!$K$5&gt;3,IF(OR($O$5&lt;&gt;"Federal - NIH",OR(AND(ISBLANK(J20),ISBLANK(K20),ISBLANK(L20)),AND(J20="",K20="",L20=""))),FALSE,IF(J20&gt;0,I20&gt;NIHSalaryCap,I20&gt;(NIHSalaryCap*8.5)/12)),FALSE)</f>
        <v>0</v>
      </c>
    </row>
    <row r="21" spans="1:26" x14ac:dyDescent="0.2">
      <c r="A21" s="4">
        <v>2</v>
      </c>
      <c r="B21" s="5" t="str">
        <f>IF('Personnel Yr 1'!$K$5&gt;3,IF(NOT(OR(ISBLANK('Personnel Yr 3'!B21),'Personnel Yr 3'!B21="")),'Personnel Yr 3'!B21,""),"")</f>
        <v/>
      </c>
      <c r="C21" s="17" t="str">
        <f>IF('Personnel Yr 1'!$K$5&gt;3,IF(ISBLANK('Personnel Yr 3'!C21),"",'Personnel Yr 3'!C21),"")</f>
        <v/>
      </c>
      <c r="D21" s="17" t="str">
        <f>IF('Personnel Yr 1'!$K$5&gt;3,IF(ISBLANK('Personnel Yr 3'!D21),"",'Personnel Yr 3'!D21),"")</f>
        <v/>
      </c>
      <c r="E21" s="17" t="str">
        <f>IF('Personnel Yr 1'!$K$5&gt;3,IF(ISBLANK('Personnel Yr 3'!E21),"",'Personnel Yr 3'!E21),"")</f>
        <v/>
      </c>
      <c r="F21" s="17" t="str">
        <f>IF('Personnel Yr 1'!$K$5&gt;3,IF(ISBLANK('Personnel Yr 3'!F21),"",'Personnel Yr 3'!F21),"")</f>
        <v/>
      </c>
      <c r="G21" s="17" t="str">
        <f>IF('Personnel Yr 1'!$K$5&gt;3,IF(ISBLANK('Personnel Yr 3'!G21),"",'Personnel Yr 3'!G21),"")</f>
        <v/>
      </c>
      <c r="H21" s="17" t="str">
        <f>IF('Personnel Yr 1'!$K$5&gt;3,IF(ISBLANK('Personnel Yr 3'!H21),"",'Personnel Yr 3'!H21),"")</f>
        <v/>
      </c>
      <c r="I21" s="32" t="str">
        <f>IF('Personnel Yr 1'!$K$5&gt;3,IF(NOT(OR(ISBLANK('Personnel Yr 3'!I21),'Personnel Yr 3'!I21="")),(('Personnel Yr 3'!I21*'Personnel Yr 1'!$D$5)+'Personnel Yr 3'!I21),""),"")</f>
        <v/>
      </c>
      <c r="J21" s="17" t="str">
        <f>IF('Personnel Yr 1'!$K$5&gt;3,IF(AND(OR(ISBLANK(I21),I21=""),ISBLANK('Personnel Yr 3'!J21)),"",'Personnel Yr 3'!J21),"")</f>
        <v/>
      </c>
      <c r="K21" s="17" t="str">
        <f>IF('Personnel Yr 1'!$K$5&gt;3,IF(AND(OR(ISBLANK(J21),J21=""),ISBLANK('Personnel Yr 3'!K21)),"",'Personnel Yr 3'!K21),"")</f>
        <v/>
      </c>
      <c r="L21" s="17" t="str">
        <f>IF('Personnel Yr 1'!$K$5&gt;3,IF(AND(OR(ISBLANK(K21),K21=""),ISBLANK('Personnel Yr 3'!L21)),"",'Personnel Yr 3'!L21),"")</f>
        <v/>
      </c>
      <c r="M21" s="34" t="str">
        <f>IF('Personnel Yr 1'!$K$5&gt;3,IF(NOT(OR(ISBLANK(I21),I21="")), IF(OR(AND(ISBLANK(J21),ISBLANK(K21),ISBLANK(L21)),AND(J21="",K21="",L21="")),0, IF((AND((J21&gt;0),((K21+L21)&gt;0))),"Error", IF((J21&gt;0),ROUND((IF(AND('Personnel Yr 1'!$P$5&gt;0,I21&gt;'Personnel Yr 1'!$P$5),'Personnel Yr 1'!$P$5,I21)*(J21/12)),2),ROUND((IF(AND('Personnel Yr 1'!$P$5&gt;0,I21&gt;'Personnel Yr 1'!$P$5),'Personnel Yr 1'!$P$5,I21)*((K21+L21)/8.5)),2)))),""),"")</f>
        <v/>
      </c>
      <c r="N21" s="34" t="str">
        <f>IF('Personnel Yr 1'!$K$5&gt;3,IF(OR(ISBLANK(M21),M21=""),"",ROUND(SUM(U21:W21),2)),"")</f>
        <v/>
      </c>
      <c r="O21" s="41" t="str">
        <f>IF('Personnel Yr 1'!$K$5&gt;3,IF(OR(ISBLANK(N21),N21=""),"",ROUND(SUM(M21:N21),2)),"")</f>
        <v/>
      </c>
      <c r="P21" s="187"/>
      <c r="Q21" s="335">
        <f>IF('Personnel Yr 1'!$K$5&gt;3,IF(NOT(OR(ISBLANK(J21),J21="")),(I21/12)*J21,""),0)</f>
        <v>0</v>
      </c>
      <c r="R21" s="336">
        <f>IF('Personnel Yr 1'!$K$5&gt;3,IF(NOT(OR(ISBLANK(K21),K21="")),(I21/8.5)*K21,""),0)</f>
        <v>0</v>
      </c>
      <c r="S21" s="335">
        <f>IF('Personnel Yr 1'!$K$5&gt;3,IF(NOT(OR(ISBLANK(L21),L21="")),(I21/8.5)*L21,""),0)</f>
        <v>0</v>
      </c>
      <c r="U21" s="335">
        <f t="shared" si="4"/>
        <v>0</v>
      </c>
      <c r="V21" s="335">
        <f t="shared" si="5"/>
        <v>0</v>
      </c>
      <c r="W21" s="335">
        <f t="shared" si="6"/>
        <v>0</v>
      </c>
      <c r="Y21" s="335">
        <v>21</v>
      </c>
      <c r="Z21" s="335" t="b">
        <f>IF('Personnel Yr 1'!$K$5&gt;3,IF(OR($O$5&lt;&gt;"Federal - NIH",OR(AND(ISBLANK(J21),ISBLANK(K21),ISBLANK(L21)),AND(J21="",K21="",L21=""))),FALSE,IF(J21&gt;0,I21&gt;NIHSalaryCap,I21&gt;(NIHSalaryCap*8.5)/12)),FALSE)</f>
        <v>0</v>
      </c>
    </row>
    <row r="22" spans="1:26" x14ac:dyDescent="0.2">
      <c r="A22" s="4">
        <v>3</v>
      </c>
      <c r="B22" s="5" t="str">
        <f>IF('Personnel Yr 1'!$K$5&gt;3,IF(NOT(OR(ISBLANK('Personnel Yr 3'!B22),'Personnel Yr 3'!B22="")),'Personnel Yr 3'!B22,""),"")</f>
        <v/>
      </c>
      <c r="C22" s="17" t="str">
        <f>IF('Personnel Yr 1'!$K$5&gt;3,IF(ISBLANK('Personnel Yr 3'!C22),"",'Personnel Yr 3'!C22),"")</f>
        <v/>
      </c>
      <c r="D22" s="17" t="str">
        <f>IF('Personnel Yr 1'!$K$5&gt;3,IF(ISBLANK('Personnel Yr 3'!D22),"",'Personnel Yr 3'!D22),"")</f>
        <v/>
      </c>
      <c r="E22" s="17" t="str">
        <f>IF('Personnel Yr 1'!$K$5&gt;3,IF(ISBLANK('Personnel Yr 3'!E22),"",'Personnel Yr 3'!E22),"")</f>
        <v/>
      </c>
      <c r="F22" s="17" t="str">
        <f>IF('Personnel Yr 1'!$K$5&gt;3,IF(ISBLANK('Personnel Yr 3'!F22),"",'Personnel Yr 3'!F22),"")</f>
        <v/>
      </c>
      <c r="G22" s="55" t="str">
        <f>IF('Personnel Yr 1'!$K$5&gt;3,IF(ISBLANK('Personnel Yr 3'!G22),"",'Personnel Yr 3'!G22),"")</f>
        <v/>
      </c>
      <c r="H22" s="17" t="str">
        <f>IF('Personnel Yr 1'!$K$5&gt;3,IF(ISBLANK('Personnel Yr 3'!H22),"",'Personnel Yr 3'!H22),"")</f>
        <v/>
      </c>
      <c r="I22" s="32" t="str">
        <f>IF('Personnel Yr 1'!$K$5&gt;3,IF(NOT(OR(ISBLANK('Personnel Yr 3'!I22),'Personnel Yr 3'!I22="")),(('Personnel Yr 3'!I22*'Personnel Yr 1'!$D$5)+'Personnel Yr 3'!I22),""),"")</f>
        <v/>
      </c>
      <c r="J22" s="17" t="str">
        <f>IF('Personnel Yr 1'!$K$5&gt;3,IF(AND(OR(ISBLANK(I22),I22=""),ISBLANK('Personnel Yr 3'!J22)),"",'Personnel Yr 3'!J22),"")</f>
        <v/>
      </c>
      <c r="K22" s="17" t="str">
        <f>IF('Personnel Yr 1'!$K$5&gt;3,IF(AND(OR(ISBLANK(J22),J22=""),ISBLANK('Personnel Yr 3'!K22)),"",'Personnel Yr 3'!K22),"")</f>
        <v/>
      </c>
      <c r="L22" s="17" t="str">
        <f>IF('Personnel Yr 1'!$K$5&gt;3,IF(AND(OR(ISBLANK(K22),K22=""),ISBLANK('Personnel Yr 3'!L22)),"",'Personnel Yr 3'!L22),"")</f>
        <v/>
      </c>
      <c r="M22" s="34" t="str">
        <f>IF('Personnel Yr 1'!$K$5&gt;3,IF(NOT(OR(ISBLANK(I22),I22="")), IF(OR(AND(ISBLANK(J22),ISBLANK(K22),ISBLANK(L22)),AND(J22="",K22="",L22="")),0, IF((AND((J22&gt;0),((K22+L22)&gt;0))),"Error", IF((J22&gt;0),ROUND((IF(AND('Personnel Yr 1'!$P$5&gt;0,I22&gt;'Personnel Yr 1'!$P$5),'Personnel Yr 1'!$P$5,I22)*(J22/12)),2),ROUND((IF(AND('Personnel Yr 1'!$P$5&gt;0,I22&gt;'Personnel Yr 1'!$P$5),'Personnel Yr 1'!$P$5,I22)*((K22+L22)/8.5)),2)))),""),"")</f>
        <v/>
      </c>
      <c r="N22" s="34" t="str">
        <f>IF('Personnel Yr 1'!$K$5&gt;3,IF(OR(ISBLANK(M22),M22=""),"",ROUND(SUM(U22:W22),2)),"")</f>
        <v/>
      </c>
      <c r="O22" s="41" t="str">
        <f>IF('Personnel Yr 1'!$K$5&gt;3,IF(OR(ISBLANK(N22),N22=""),"",ROUND(SUM(M22:N22),2)),"")</f>
        <v/>
      </c>
      <c r="P22" s="188"/>
      <c r="Q22" s="335">
        <f>IF('Personnel Yr 1'!$K$5&gt;3,IF(NOT(OR(ISBLANK(J22),J22="")),(I22/12)*J22,""),0)</f>
        <v>0</v>
      </c>
      <c r="R22" s="336">
        <f>IF('Personnel Yr 1'!$K$5&gt;3,IF(NOT(OR(ISBLANK(K22),K22="")),(I22/8.5)*K22,""),0)</f>
        <v>0</v>
      </c>
      <c r="S22" s="335">
        <f>IF('Personnel Yr 1'!$K$5&gt;3,IF(NOT(OR(ISBLANK(L22),L22="")),(I22/8.5)*L22,""),0)</f>
        <v>0</v>
      </c>
      <c r="U22" s="335">
        <f t="shared" si="4"/>
        <v>0</v>
      </c>
      <c r="V22" s="335">
        <f t="shared" si="5"/>
        <v>0</v>
      </c>
      <c r="W22" s="335">
        <f t="shared" si="6"/>
        <v>0</v>
      </c>
      <c r="Y22" s="335">
        <v>22</v>
      </c>
      <c r="Z22" s="335" t="b">
        <f>IF('Personnel Yr 1'!$K$5&gt;3,IF(OR($O$5&lt;&gt;"Federal - NIH",OR(AND(ISBLANK(J22),ISBLANK(K22),ISBLANK(L22)),AND(J22="",K22="",L22=""))),FALSE,IF(J22&gt;0,I22&gt;NIHSalaryCap,I22&gt;(NIHSalaryCap*8.5)/12)),FALSE)</f>
        <v>0</v>
      </c>
    </row>
    <row r="23" spans="1:26" x14ac:dyDescent="0.2">
      <c r="A23" s="4">
        <v>4</v>
      </c>
      <c r="B23" s="5" t="str">
        <f>IF('Personnel Yr 1'!$K$5&gt;3,IF(NOT(OR(ISBLANK('Personnel Yr 3'!B23),'Personnel Yr 3'!B23="")),'Personnel Yr 3'!B23,""),"")</f>
        <v/>
      </c>
      <c r="C23" s="17" t="str">
        <f>IF('Personnel Yr 1'!$K$5&gt;3,IF(ISBLANK('Personnel Yr 3'!C23),"",'Personnel Yr 3'!C23),"")</f>
        <v/>
      </c>
      <c r="D23" s="17" t="str">
        <f>IF('Personnel Yr 1'!$K$5&gt;3,IF(ISBLANK('Personnel Yr 3'!D23),"",'Personnel Yr 3'!D23),"")</f>
        <v/>
      </c>
      <c r="E23" s="17" t="str">
        <f>IF('Personnel Yr 1'!$K$5&gt;3,IF(ISBLANK('Personnel Yr 3'!E23),"",'Personnel Yr 3'!E23),"")</f>
        <v/>
      </c>
      <c r="F23" s="17" t="str">
        <f>IF('Personnel Yr 1'!$K$5&gt;3,IF(ISBLANK('Personnel Yr 3'!F23),"",'Personnel Yr 3'!F23),"")</f>
        <v/>
      </c>
      <c r="G23" s="56" t="str">
        <f>IF('Personnel Yr 1'!$K$5&gt;3,IF(ISBLANK('Personnel Yr 3'!G23),"",'Personnel Yr 3'!G23),"")</f>
        <v/>
      </c>
      <c r="H23" s="17" t="str">
        <f>IF('Personnel Yr 1'!$K$5&gt;3,IF(ISBLANK('Personnel Yr 3'!H23),"",'Personnel Yr 3'!H23),"")</f>
        <v/>
      </c>
      <c r="I23" s="32" t="str">
        <f>IF('Personnel Yr 1'!$K$5&gt;3,IF(NOT(OR(ISBLANK('Personnel Yr 3'!I23),'Personnel Yr 3'!I23="")),(('Personnel Yr 3'!I23*'Personnel Yr 1'!$D$5)+'Personnel Yr 3'!I23),""),"")</f>
        <v/>
      </c>
      <c r="J23" s="17" t="str">
        <f>IF('Personnel Yr 1'!$K$5&gt;3,IF(AND(OR(ISBLANK(I23),I23=""),ISBLANK('Personnel Yr 3'!J23)),"",'Personnel Yr 3'!J23),"")</f>
        <v/>
      </c>
      <c r="K23" s="17" t="str">
        <f>IF('Personnel Yr 1'!$K$5&gt;3,IF(AND(OR(ISBLANK(J23),J23=""),ISBLANK('Personnel Yr 3'!K23)),"",'Personnel Yr 3'!K23),"")</f>
        <v/>
      </c>
      <c r="L23" s="17" t="str">
        <f>IF('Personnel Yr 1'!$K$5&gt;3,IF(AND(OR(ISBLANK(K23),K23=""),ISBLANK('Personnel Yr 3'!L23)),"",'Personnel Yr 3'!L23),"")</f>
        <v/>
      </c>
      <c r="M23" s="34" t="str">
        <f>IF('Personnel Yr 1'!$K$5&gt;3,IF(NOT(OR(ISBLANK(I23),I23="")), IF(OR(AND(ISBLANK(J23),ISBLANK(K23),ISBLANK(L23)),AND(J23="",K23="",L23="")),0, IF((AND((J23&gt;0),((K23+L23)&gt;0))),"Error", IF((J23&gt;0),ROUND((IF(AND('Personnel Yr 1'!$P$5&gt;0,I23&gt;'Personnel Yr 1'!$P$5),'Personnel Yr 1'!$P$5,I23)*(J23/12)),2),ROUND((IF(AND('Personnel Yr 1'!$P$5&gt;0,I23&gt;'Personnel Yr 1'!$P$5),'Personnel Yr 1'!$P$5,I23)*((K23+L23)/8.5)),2)))),""),"")</f>
        <v/>
      </c>
      <c r="N23" s="34" t="str">
        <f>IF('Personnel Yr 1'!$K$5&gt;3,IF(OR(ISBLANK(M23),M23=""),"",ROUND(SUM(U23:W23),2)),"")</f>
        <v/>
      </c>
      <c r="O23" s="41" t="str">
        <f>IF('Personnel Yr 1'!$K$5&gt;3,IF(OR(ISBLANK(N23),N23=""),"",ROUND(SUM(M23:N23),2)),"")</f>
        <v/>
      </c>
      <c r="P23" s="15"/>
      <c r="Q23" s="335">
        <f>IF('Personnel Yr 1'!$K$5&gt;3,IF(NOT(OR(ISBLANK(J23),J23="")),(I23/12)*J23,""),0)</f>
        <v>0</v>
      </c>
      <c r="R23" s="336">
        <f>IF('Personnel Yr 1'!$K$5&gt;3,IF(NOT(OR(ISBLANK(K23),K23="")),(I23/8.5)*K23,""),0)</f>
        <v>0</v>
      </c>
      <c r="S23" s="335">
        <f>IF('Personnel Yr 1'!$K$5&gt;3,IF(NOT(OR(ISBLANK(L23),L23="")),(I23/8.5)*L23,""),0)</f>
        <v>0</v>
      </c>
      <c r="U23" s="335">
        <f t="shared" si="4"/>
        <v>0</v>
      </c>
      <c r="V23" s="335">
        <f t="shared" si="5"/>
        <v>0</v>
      </c>
      <c r="W23" s="335">
        <f t="shared" si="6"/>
        <v>0</v>
      </c>
      <c r="Y23" s="335">
        <v>23</v>
      </c>
      <c r="Z23" s="335" t="b">
        <f>IF('Personnel Yr 1'!$K$5&gt;3,IF(OR($O$5&lt;&gt;"Federal - NIH",OR(AND(ISBLANK(J23),ISBLANK(K23),ISBLANK(L23)),AND(J23="",K23="",L23=""))),FALSE,IF(J23&gt;0,I23&gt;NIHSalaryCap,I23&gt;(NIHSalaryCap*8.5)/12)),FALSE)</f>
        <v>0</v>
      </c>
    </row>
    <row r="24" spans="1:26" x14ac:dyDescent="0.2">
      <c r="A24" s="4">
        <v>5</v>
      </c>
      <c r="B24" s="5" t="str">
        <f>IF('Personnel Yr 1'!$K$5&gt;3,IF(NOT(OR(ISBLANK('Personnel Yr 3'!B24),'Personnel Yr 3'!B24="")),'Personnel Yr 3'!B24,""),"")</f>
        <v/>
      </c>
      <c r="C24" s="17" t="str">
        <f>IF('Personnel Yr 1'!$K$5&gt;3,IF(ISBLANK('Personnel Yr 3'!C24),"",'Personnel Yr 3'!C24),"")</f>
        <v/>
      </c>
      <c r="D24" s="17" t="str">
        <f>IF('Personnel Yr 1'!$K$5&gt;3,IF(ISBLANK('Personnel Yr 3'!D24),"",'Personnel Yr 3'!D24),"")</f>
        <v/>
      </c>
      <c r="E24" s="17" t="str">
        <f>IF('Personnel Yr 1'!$K$5&gt;3,IF(ISBLANK('Personnel Yr 3'!E24),"",'Personnel Yr 3'!E24),"")</f>
        <v/>
      </c>
      <c r="F24" s="17" t="str">
        <f>IF('Personnel Yr 1'!$K$5&gt;3,IF(ISBLANK('Personnel Yr 3'!F24),"",'Personnel Yr 3'!F24),"")</f>
        <v/>
      </c>
      <c r="G24" s="17" t="str">
        <f>IF('Personnel Yr 1'!$K$5&gt;3,IF(ISBLANK('Personnel Yr 3'!G24),"",'Personnel Yr 3'!G24),"")</f>
        <v/>
      </c>
      <c r="H24" s="17" t="str">
        <f>IF('Personnel Yr 1'!$K$5&gt;3,IF(ISBLANK('Personnel Yr 3'!H24),"",'Personnel Yr 3'!H24),"")</f>
        <v/>
      </c>
      <c r="I24" s="32" t="str">
        <f>IF('Personnel Yr 1'!$K$5&gt;3,IF(NOT(OR(ISBLANK('Personnel Yr 3'!I24),'Personnel Yr 3'!I24="")),(('Personnel Yr 3'!I24*'Personnel Yr 1'!$D$5)+'Personnel Yr 3'!I24),""),"")</f>
        <v/>
      </c>
      <c r="J24" s="17" t="str">
        <f>IF('Personnel Yr 1'!$K$5&gt;3,IF(AND(OR(ISBLANK(I24),I24=""),ISBLANK('Personnel Yr 3'!J24)),"",'Personnel Yr 3'!J24),"")</f>
        <v/>
      </c>
      <c r="K24" s="17" t="str">
        <f>IF('Personnel Yr 1'!$K$5&gt;3,IF(AND(OR(ISBLANK(J24),J24=""),ISBLANK('Personnel Yr 3'!K24)),"",'Personnel Yr 3'!K24),"")</f>
        <v/>
      </c>
      <c r="L24" s="17" t="str">
        <f>IF('Personnel Yr 1'!$K$5&gt;3,IF(AND(OR(ISBLANK(K24),K24=""),ISBLANK('Personnel Yr 3'!L24)),"",'Personnel Yr 3'!L24),"")</f>
        <v/>
      </c>
      <c r="M24" s="34" t="str">
        <f>IF('Personnel Yr 1'!$K$5&gt;3,IF(NOT(OR(ISBLANK(I24),I24="")), IF(OR(AND(ISBLANK(J24),ISBLANK(K24),ISBLANK(L24)),AND(J24="",K24="",L24="")),0, IF((AND((J24&gt;0),((K24+L24)&gt;0))),"Error", IF((J24&gt;0),ROUND((IF(AND('Personnel Yr 1'!$P$5&gt;0,I24&gt;'Personnel Yr 1'!$P$5),'Personnel Yr 1'!$P$5,I24)*(J24/12)),2),ROUND((IF(AND('Personnel Yr 1'!$P$5&gt;0,I24&gt;'Personnel Yr 1'!$P$5),'Personnel Yr 1'!$P$5,I24)*((K24+L24)/8.5)),2)))),""),"")</f>
        <v/>
      </c>
      <c r="N24" s="34" t="str">
        <f>IF('Personnel Yr 1'!$K$5&gt;3,IF(OR(ISBLANK(M24),M24=""),"",ROUND(SUM(U24:W24),2)),"")</f>
        <v/>
      </c>
      <c r="O24" s="41" t="str">
        <f>IF('Personnel Yr 1'!$K$5&gt;3,IF(OR(ISBLANK(N24),N24=""),"",ROUND(SUM(M24:N24),2)),"")</f>
        <v/>
      </c>
      <c r="P24" s="15"/>
      <c r="Q24" s="335">
        <f>IF('Personnel Yr 1'!$K$5&gt;3,IF(NOT(OR(ISBLANK(J24),J24="")),(I24/12)*J24,""),0)</f>
        <v>0</v>
      </c>
      <c r="R24" s="336">
        <f>IF('Personnel Yr 1'!$K$5&gt;3,IF(NOT(OR(ISBLANK(K24),K24="")),(I24/8.5)*K24,""),0)</f>
        <v>0</v>
      </c>
      <c r="S24" s="335">
        <f>IF('Personnel Yr 1'!$K$5&gt;3,IF(NOT(OR(ISBLANK(L24),L24="")),(I24/8.5)*L24,""),0)</f>
        <v>0</v>
      </c>
      <c r="U24" s="335">
        <f t="shared" si="4"/>
        <v>0</v>
      </c>
      <c r="V24" s="335">
        <f t="shared" si="5"/>
        <v>0</v>
      </c>
      <c r="W24" s="335">
        <f t="shared" si="6"/>
        <v>0</v>
      </c>
      <c r="Y24" s="335">
        <v>24</v>
      </c>
      <c r="Z24" s="335" t="b">
        <f>IF('Personnel Yr 1'!$K$5&gt;3,IF(OR($O$5&lt;&gt;"Federal - NIH",OR(AND(ISBLANK(J24),ISBLANK(K24),ISBLANK(L24)),AND(J24="",K24="",L24=""))),FALSE,IF(J24&gt;0,I24&gt;NIHSalaryCap,I24&gt;(NIHSalaryCap*8.5)/12)),FALSE)</f>
        <v>0</v>
      </c>
    </row>
    <row r="25" spans="1:26" x14ac:dyDescent="0.2">
      <c r="A25" s="4">
        <v>6</v>
      </c>
      <c r="B25" s="5" t="str">
        <f>IF('Personnel Yr 1'!$K$5&gt;3,IF(NOT(OR(ISBLANK('Personnel Yr 3'!B25),'Personnel Yr 3'!B25="")),'Personnel Yr 3'!B25,""),"")</f>
        <v/>
      </c>
      <c r="C25" s="17" t="str">
        <f>IF('Personnel Yr 1'!$K$5&gt;3,IF(ISBLANK('Personnel Yr 3'!C25),"",'Personnel Yr 3'!C25),"")</f>
        <v/>
      </c>
      <c r="D25" s="17" t="str">
        <f>IF('Personnel Yr 1'!$K$5&gt;3,IF(ISBLANK('Personnel Yr 3'!D25),"",'Personnel Yr 3'!D25),"")</f>
        <v/>
      </c>
      <c r="E25" s="17" t="str">
        <f>IF('Personnel Yr 1'!$K$5&gt;3,IF(ISBLANK('Personnel Yr 3'!E25),"",'Personnel Yr 3'!E25),"")</f>
        <v/>
      </c>
      <c r="F25" s="17" t="str">
        <f>IF('Personnel Yr 1'!$K$5&gt;3,IF(ISBLANK('Personnel Yr 3'!F25),"",'Personnel Yr 3'!F25),"")</f>
        <v/>
      </c>
      <c r="G25" s="17" t="str">
        <f>IF('Personnel Yr 1'!$K$5&gt;3,IF(ISBLANK('Personnel Yr 3'!G25),"",'Personnel Yr 3'!G25),"")</f>
        <v/>
      </c>
      <c r="H25" s="17" t="str">
        <f>IF('Personnel Yr 1'!$K$5&gt;3,IF(ISBLANK('Personnel Yr 3'!H25),"",'Personnel Yr 3'!H25),"")</f>
        <v/>
      </c>
      <c r="I25" s="32" t="str">
        <f>IF('Personnel Yr 1'!$K$5&gt;3,IF(NOT(OR(ISBLANK('Personnel Yr 3'!I25),'Personnel Yr 3'!I25="")),(('Personnel Yr 3'!I25*'Personnel Yr 1'!$D$5)+'Personnel Yr 3'!I25),""),"")</f>
        <v/>
      </c>
      <c r="J25" s="17" t="str">
        <f>IF('Personnel Yr 1'!$K$5&gt;3,IF(AND(OR(ISBLANK(I25),I25=""),ISBLANK('Personnel Yr 3'!J25)),"",'Personnel Yr 3'!J25),"")</f>
        <v/>
      </c>
      <c r="K25" s="17" t="str">
        <f>IF('Personnel Yr 1'!$K$5&gt;3,IF(AND(OR(ISBLANK(J25),J25=""),ISBLANK('Personnel Yr 3'!K25)),"",'Personnel Yr 3'!K25),"")</f>
        <v/>
      </c>
      <c r="L25" s="17" t="str">
        <f>IF('Personnel Yr 1'!$K$5&gt;3,IF(AND(OR(ISBLANK(K25),K25=""),ISBLANK('Personnel Yr 3'!L25)),"",'Personnel Yr 3'!L25),"")</f>
        <v/>
      </c>
      <c r="M25" s="34" t="str">
        <f>IF('Personnel Yr 1'!$K$5&gt;3,IF(NOT(OR(ISBLANK(I25),I25="")), IF(OR(AND(ISBLANK(J25),ISBLANK(K25),ISBLANK(L25)),AND(J25="",K25="",L25="")),0, IF((AND((J25&gt;0),((K25+L25)&gt;0))),"Error", IF((J25&gt;0),ROUND((IF(AND('Personnel Yr 1'!$P$5&gt;0,I25&gt;'Personnel Yr 1'!$P$5),'Personnel Yr 1'!$P$5,I25)*(J25/12)),2),ROUND((IF(AND('Personnel Yr 1'!$P$5&gt;0,I25&gt;'Personnel Yr 1'!$P$5),'Personnel Yr 1'!$P$5,I25)*((K25+L25)/8.5)),2)))),""),"")</f>
        <v/>
      </c>
      <c r="N25" s="34" t="str">
        <f>IF('Personnel Yr 1'!$K$5&gt;3,IF(OR(ISBLANK(M25),M25=""),"",ROUND(SUM(U25:W25),2)),"")</f>
        <v/>
      </c>
      <c r="O25" s="41" t="str">
        <f>IF('Personnel Yr 1'!$K$5&gt;3,IF(OR(ISBLANK(N25),N25=""),"",ROUND(SUM(M25:N25),2)),"")</f>
        <v/>
      </c>
      <c r="P25" s="187"/>
      <c r="Q25" s="335">
        <f>IF('Personnel Yr 1'!$K$5&gt;3,IF(NOT(OR(ISBLANK(J25),J25="")),(I25/12)*J25,""),0)</f>
        <v>0</v>
      </c>
      <c r="R25" s="336">
        <f>IF('Personnel Yr 1'!$K$5&gt;3,IF(NOT(OR(ISBLANK(K25),K25="")),(I25/8.5)*K25,""),0)</f>
        <v>0</v>
      </c>
      <c r="S25" s="335">
        <f>IF('Personnel Yr 1'!$K$5&gt;3,IF(NOT(OR(ISBLANK(L25),L25="")),(I25/8.5)*L25,""),0)</f>
        <v>0</v>
      </c>
      <c r="U25" s="335">
        <f t="shared" si="4"/>
        <v>0</v>
      </c>
      <c r="V25" s="335">
        <f t="shared" si="5"/>
        <v>0</v>
      </c>
      <c r="W25" s="335">
        <f t="shared" si="6"/>
        <v>0</v>
      </c>
      <c r="Y25" s="335">
        <v>25</v>
      </c>
      <c r="Z25" s="335" t="b">
        <f>IF('Personnel Yr 1'!$K$5&gt;3,IF(OR($O$5&lt;&gt;"Federal - NIH",OR(AND(ISBLANK(J25),ISBLANK(K25),ISBLANK(L25)),AND(J25="",K25="",L25=""))),FALSE,IF(J25&gt;0,I25&gt;NIHSalaryCap,I25&gt;(NIHSalaryCap*8.5)/12)),FALSE)</f>
        <v>0</v>
      </c>
    </row>
    <row r="26" spans="1:26" x14ac:dyDescent="0.2">
      <c r="A26" s="4">
        <v>7</v>
      </c>
      <c r="B26" s="5" t="str">
        <f>IF('Personnel Yr 1'!$K$5&gt;3,IF(NOT(OR(ISBLANK('Personnel Yr 3'!B26),'Personnel Yr 3'!B26="")),'Personnel Yr 3'!B26,""),"")</f>
        <v/>
      </c>
      <c r="C26" s="17" t="str">
        <f>IF('Personnel Yr 1'!$K$5&gt;3,IF(ISBLANK('Personnel Yr 3'!C26),"",'Personnel Yr 3'!C26),"")</f>
        <v/>
      </c>
      <c r="D26" s="17" t="str">
        <f>IF('Personnel Yr 1'!$K$5&gt;3,IF(ISBLANK('Personnel Yr 3'!D26),"",'Personnel Yr 3'!D26),"")</f>
        <v/>
      </c>
      <c r="E26" s="17" t="str">
        <f>IF('Personnel Yr 1'!$K$5&gt;3,IF(ISBLANK('Personnel Yr 3'!E26),"",'Personnel Yr 3'!E26),"")</f>
        <v/>
      </c>
      <c r="F26" s="17" t="str">
        <f>IF('Personnel Yr 1'!$K$5&gt;3,IF(ISBLANK('Personnel Yr 3'!F26),"",'Personnel Yr 3'!F26),"")</f>
        <v/>
      </c>
      <c r="G26" s="17" t="str">
        <f>IF('Personnel Yr 1'!$K$5&gt;3,IF(ISBLANK('Personnel Yr 3'!G26),"",'Personnel Yr 3'!G26),"")</f>
        <v/>
      </c>
      <c r="H26" s="17" t="str">
        <f>IF('Personnel Yr 1'!$K$5&gt;3,IF(ISBLANK('Personnel Yr 3'!H26),"",'Personnel Yr 3'!H26),"")</f>
        <v/>
      </c>
      <c r="I26" s="32" t="str">
        <f>IF('Personnel Yr 1'!$K$5&gt;3,IF(NOT(OR(ISBLANK('Personnel Yr 3'!I26),'Personnel Yr 3'!I26="")),(('Personnel Yr 3'!I26*'Personnel Yr 1'!$D$5)+'Personnel Yr 3'!I26),""),"")</f>
        <v/>
      </c>
      <c r="J26" s="17" t="str">
        <f>IF('Personnel Yr 1'!$K$5&gt;3,IF(AND(OR(ISBLANK(I26),I26=""),ISBLANK('Personnel Yr 3'!J26)),"",'Personnel Yr 3'!J26),"")</f>
        <v/>
      </c>
      <c r="K26" s="17" t="str">
        <f>IF('Personnel Yr 1'!$K$5&gt;3,IF(AND(OR(ISBLANK(J26),J26=""),ISBLANK('Personnel Yr 3'!K26)),"",'Personnel Yr 3'!K26),"")</f>
        <v/>
      </c>
      <c r="L26" s="17" t="str">
        <f>IF('Personnel Yr 1'!$K$5&gt;3,IF(AND(OR(ISBLANK(K26),K26=""),ISBLANK('Personnel Yr 3'!L26)),"",'Personnel Yr 3'!L26),"")</f>
        <v/>
      </c>
      <c r="M26" s="34" t="str">
        <f>IF('Personnel Yr 1'!$K$5&gt;3,IF(NOT(OR(ISBLANK(I26),I26="")), IF(OR(AND(ISBLANK(J26),ISBLANK(K26),ISBLANK(L26)),AND(J26="",K26="",L26="")),0, IF((AND((J26&gt;0),((K26+L26)&gt;0))),"Error", IF((J26&gt;0),ROUND((IF(AND('Personnel Yr 1'!$P$5&gt;0,I26&gt;'Personnel Yr 1'!$P$5),'Personnel Yr 1'!$P$5,I26)*(J26/12)),2),ROUND((IF(AND('Personnel Yr 1'!$P$5&gt;0,I26&gt;'Personnel Yr 1'!$P$5),'Personnel Yr 1'!$P$5,I26)*((K26+L26)/8.5)),2)))),""),"")</f>
        <v/>
      </c>
      <c r="N26" s="34" t="str">
        <f>IF('Personnel Yr 1'!$K$5&gt;3,IF(OR(ISBLANK(M26),M26=""),"",ROUND(SUM(U26:W26),2)),"")</f>
        <v/>
      </c>
      <c r="O26" s="41" t="str">
        <f>IF('Personnel Yr 1'!$K$5&gt;3,IF(OR(ISBLANK(N26),N26=""),"",ROUND(SUM(M26:N26),2)),"")</f>
        <v/>
      </c>
      <c r="P26" s="15"/>
      <c r="Q26" s="335">
        <f>IF('Personnel Yr 1'!$K$5&gt;3,IF(NOT(OR(ISBLANK(J26),J26="")),(I26/12)*J26,""),0)</f>
        <v>0</v>
      </c>
      <c r="R26" s="336">
        <f>IF('Personnel Yr 1'!$K$5&gt;3,IF(NOT(OR(ISBLANK(K26),K26="")),(I26/8.5)*K26,""),0)</f>
        <v>0</v>
      </c>
      <c r="S26" s="335">
        <f>IF('Personnel Yr 1'!$K$5&gt;3,IF(NOT(OR(ISBLANK(L26),L26="")),(I26/8.5)*L26,""),0)</f>
        <v>0</v>
      </c>
      <c r="U26" s="335">
        <f t="shared" si="4"/>
        <v>0</v>
      </c>
      <c r="V26" s="335">
        <f t="shared" si="5"/>
        <v>0</v>
      </c>
      <c r="W26" s="335">
        <f t="shared" si="6"/>
        <v>0</v>
      </c>
      <c r="Y26" s="335">
        <v>26</v>
      </c>
      <c r="Z26" s="335" t="b">
        <f>IF('Personnel Yr 1'!$K$5&gt;3,IF(OR($O$5&lt;&gt;"Federal - NIH",OR(AND(ISBLANK(J26),ISBLANK(K26),ISBLANK(L26)),AND(J26="",K26="",L26=""))),FALSE,IF(J26&gt;0,I26&gt;NIHSalaryCap,I26&gt;(NIHSalaryCap*8.5)/12)),FALSE)</f>
        <v>0</v>
      </c>
    </row>
    <row r="27" spans="1:26" x14ac:dyDescent="0.2">
      <c r="A27" s="4">
        <v>8</v>
      </c>
      <c r="B27" s="57" t="str">
        <f>IF('Personnel Yr 1'!$K$5&gt;3,IF(NOT(OR(ISBLANK('Personnel Yr 3'!B27),'Personnel Yr 3'!B27="")),'Personnel Yr 3'!B27,""),"")</f>
        <v/>
      </c>
      <c r="C27" s="54" t="str">
        <f>IF('Personnel Yr 1'!$K$5&gt;3,IF(ISBLANK('Personnel Yr 3'!C27),"",'Personnel Yr 3'!C27),"")</f>
        <v/>
      </c>
      <c r="D27" s="54" t="str">
        <f>IF('Personnel Yr 1'!$K$5&gt;3,IF(ISBLANK('Personnel Yr 3'!D27),"",'Personnel Yr 3'!D27),"")</f>
        <v/>
      </c>
      <c r="E27" s="54" t="str">
        <f>IF('Personnel Yr 1'!$K$5&gt;3,IF(ISBLANK('Personnel Yr 3'!E27),"",'Personnel Yr 3'!E27),"")</f>
        <v/>
      </c>
      <c r="F27" s="54" t="str">
        <f>IF('Personnel Yr 1'!$K$5&gt;3,IF(ISBLANK('Personnel Yr 3'!F27),"",'Personnel Yr 3'!F27),"")</f>
        <v/>
      </c>
      <c r="G27" s="54" t="str">
        <f>IF('Personnel Yr 1'!$K$5&gt;3,IF(ISBLANK('Personnel Yr 3'!G27),"",'Personnel Yr 3'!G27),"")</f>
        <v/>
      </c>
      <c r="H27" s="17" t="str">
        <f>IF('Personnel Yr 1'!$K$5&gt;3,IF(ISBLANK('Personnel Yr 3'!H27),"",'Personnel Yr 3'!H27),"")</f>
        <v/>
      </c>
      <c r="I27" s="32" t="str">
        <f>IF('Personnel Yr 1'!$K$5&gt;3,IF(NOT(OR(ISBLANK('Personnel Yr 3'!I27),'Personnel Yr 3'!I27="")),(('Personnel Yr 3'!I27*'Personnel Yr 1'!$D$5)+'Personnel Yr 3'!I27),""),"")</f>
        <v/>
      </c>
      <c r="J27" s="17" t="str">
        <f>IF('Personnel Yr 1'!$K$5&gt;3,IF(AND(OR(ISBLANK(I27),I27=""),ISBLANK('Personnel Yr 3'!J27)),"",'Personnel Yr 3'!J27),"")</f>
        <v/>
      </c>
      <c r="K27" s="17" t="str">
        <f>IF('Personnel Yr 1'!$K$5&gt;3,IF(AND(OR(ISBLANK(J27),J27=""),ISBLANK('Personnel Yr 3'!K27)),"",'Personnel Yr 3'!K27),"")</f>
        <v/>
      </c>
      <c r="L27" s="17" t="str">
        <f>IF('Personnel Yr 1'!$K$5&gt;3,IF(AND(OR(ISBLANK(K27),K27=""),ISBLANK('Personnel Yr 3'!L27)),"",'Personnel Yr 3'!L27),"")</f>
        <v/>
      </c>
      <c r="M27" s="34" t="str">
        <f>IF('Personnel Yr 1'!$K$5&gt;3,IF(NOT(OR(ISBLANK(I27),I27="")), IF(OR(AND(ISBLANK(J27),ISBLANK(K27),ISBLANK(L27)),AND(J27="",K27="",L27="")),0, IF((AND((J27&gt;0),((K27+L27)&gt;0))),"Error", IF((J27&gt;0),ROUND((IF(AND('Personnel Yr 1'!$P$5&gt;0,I27&gt;'Personnel Yr 1'!$P$5),'Personnel Yr 1'!$P$5,I27)*(J27/12)),2),ROUND((IF(AND('Personnel Yr 1'!$P$5&gt;0,I27&gt;'Personnel Yr 1'!$P$5),'Personnel Yr 1'!$P$5,I27)*((K27+L27)/8.5)),2)))),""),"")</f>
        <v/>
      </c>
      <c r="N27" s="39" t="str">
        <f>IF('Personnel Yr 1'!$K$5&gt;3,IF(OR(ISBLANK(M27),M27=""),"",ROUND(SUM(U27:W27),2)),"")</f>
        <v/>
      </c>
      <c r="O27" s="40" t="str">
        <f>IF('Personnel Yr 1'!$K$5&gt;3,IF(OR(ISBLANK(N27),N27=""),"",ROUND(SUM(M27:N27),2)),"")</f>
        <v/>
      </c>
      <c r="P27" s="14"/>
      <c r="Q27" s="335">
        <f>IF('Personnel Yr 1'!$K$5&gt;3,IF(NOT(OR(ISBLANK(J27),J27="")),(I27/12)*J27,""),0)</f>
        <v>0</v>
      </c>
      <c r="R27" s="336">
        <f>IF('Personnel Yr 1'!$K$5&gt;3,IF(NOT(OR(ISBLANK(K27),K27="")),(I27/8.5)*K27,""),0)</f>
        <v>0</v>
      </c>
      <c r="S27" s="335">
        <f>IF('Personnel Yr 1'!$K$5&gt;3,IF(NOT(OR(ISBLANK(L27),L27="")),(I27/8.5)*L27,""),0)</f>
        <v>0</v>
      </c>
      <c r="U27" s="335">
        <f t="shared" si="4"/>
        <v>0</v>
      </c>
      <c r="V27" s="335">
        <f t="shared" si="5"/>
        <v>0</v>
      </c>
      <c r="W27" s="335">
        <f t="shared" si="6"/>
        <v>0</v>
      </c>
      <c r="Y27" s="335">
        <v>27</v>
      </c>
      <c r="Z27" s="335" t="b">
        <f>IF('Personnel Yr 1'!$K$5&gt;3,IF(OR($O$5&lt;&gt;"Federal - NIH",OR(AND(ISBLANK(J27),ISBLANK(K27),ISBLANK(L27)),AND(J27="",K27="",L27=""))),FALSE,IF(J27&gt;0,I27&gt;NIHSalaryCap,I27&gt;(NIHSalaryCap*8.5)/12)),FALSE)</f>
        <v>0</v>
      </c>
    </row>
    <row r="28" spans="1:26" x14ac:dyDescent="0.2">
      <c r="A28" s="4">
        <v>9</v>
      </c>
      <c r="B28" s="5" t="str">
        <f>IF('Personnel Yr 1'!$K$5&gt;3,IF(NOT(OR(ISBLANK('Personnel Yr 3'!B28),'Personnel Yr 3'!B28="")),'Personnel Yr 3'!B28,""),"")</f>
        <v/>
      </c>
      <c r="C28" s="17" t="str">
        <f>IF('Personnel Yr 1'!$K$5&gt;3,IF(ISBLANK('Personnel Yr 3'!C28),"",'Personnel Yr 3'!C28),"")</f>
        <v/>
      </c>
      <c r="D28" s="17" t="str">
        <f>IF('Personnel Yr 1'!$K$5&gt;3,IF(ISBLANK('Personnel Yr 3'!D28),"",'Personnel Yr 3'!D28),"")</f>
        <v/>
      </c>
      <c r="E28" s="17" t="str">
        <f>IF('Personnel Yr 1'!$K$5&gt;3,IF(ISBLANK('Personnel Yr 3'!E28),"",'Personnel Yr 3'!E28),"")</f>
        <v/>
      </c>
      <c r="F28" s="17" t="str">
        <f>IF('Personnel Yr 1'!$K$5&gt;3,IF(ISBLANK('Personnel Yr 3'!F28),"",'Personnel Yr 3'!F28),"")</f>
        <v/>
      </c>
      <c r="G28" s="56" t="str">
        <f>IF('Personnel Yr 1'!$K$5&gt;3,IF(ISBLANK('Personnel Yr 3'!G28),"",'Personnel Yr 3'!G28),"")</f>
        <v/>
      </c>
      <c r="H28" s="17" t="str">
        <f>IF('Personnel Yr 1'!$K$5&gt;3,IF(ISBLANK('Personnel Yr 3'!H28),"",'Personnel Yr 3'!H28),"")</f>
        <v/>
      </c>
      <c r="I28" s="32" t="str">
        <f>IF('Personnel Yr 1'!$K$5&gt;3,IF(NOT(OR(ISBLANK('Personnel Yr 3'!I28),'Personnel Yr 3'!I28="")),(('Personnel Yr 3'!I28*'Personnel Yr 1'!$D$5)+'Personnel Yr 3'!I28),""),"")</f>
        <v/>
      </c>
      <c r="J28" s="17" t="str">
        <f>IF('Personnel Yr 1'!$K$5&gt;3,IF(AND(OR(ISBLANK(I28),I28=""),ISBLANK('Personnel Yr 3'!J28)),"",'Personnel Yr 3'!J28),"")</f>
        <v/>
      </c>
      <c r="K28" s="17" t="str">
        <f>IF('Personnel Yr 1'!$K$5&gt;3,IF(AND(OR(ISBLANK(J28),J28=""),ISBLANK('Personnel Yr 3'!K28)),"",'Personnel Yr 3'!K28),"")</f>
        <v/>
      </c>
      <c r="L28" s="17" t="str">
        <f>IF('Personnel Yr 1'!$K$5&gt;3,IF(AND(OR(ISBLANK(K28),K28=""),ISBLANK('Personnel Yr 3'!L28)),"",'Personnel Yr 3'!L28),"")</f>
        <v/>
      </c>
      <c r="M28" s="34" t="str">
        <f>IF('Personnel Yr 1'!$K$5&gt;3,IF(NOT(OR(ISBLANK(I28),I28="")), IF(OR(AND(ISBLANK(J28),ISBLANK(K28),ISBLANK(L28)),AND(J28="",K28="",L28="")),0, IF((AND((J28&gt;0),((K28+L28)&gt;0))),"Error", IF((J28&gt;0),ROUND((IF(AND('Personnel Yr 1'!$P$5&gt;0,I28&gt;'Personnel Yr 1'!$P$5),'Personnel Yr 1'!$P$5,I28)*(J28/12)),2),ROUND((IF(AND('Personnel Yr 1'!$P$5&gt;0,I28&gt;'Personnel Yr 1'!$P$5),'Personnel Yr 1'!$P$5,I28)*((K28+L28)/8.5)),2)))),""),"")</f>
        <v/>
      </c>
      <c r="N28" s="34" t="str">
        <f>IF('Personnel Yr 1'!$K$5&gt;3,IF(OR(ISBLANK(M28),M28=""),"",ROUND(SUM(U28:W28),2)),"")</f>
        <v/>
      </c>
      <c r="O28" s="41" t="str">
        <f>IF('Personnel Yr 1'!$K$5&gt;3,IF(OR(ISBLANK(N28),N28=""),"",ROUND(SUM(M28:N28),2)),"")</f>
        <v/>
      </c>
      <c r="P28" s="15"/>
      <c r="Q28" s="335">
        <f>IF('Personnel Yr 1'!$K$5&gt;3,IF(NOT(OR(ISBLANK(J28),J28="")),(I28/12)*J28,""),0)</f>
        <v>0</v>
      </c>
      <c r="R28" s="336">
        <f>IF('Personnel Yr 1'!$K$5&gt;3,IF(NOT(OR(ISBLANK(K28),K28="")),(I28/8.5)*K28,""),0)</f>
        <v>0</v>
      </c>
      <c r="S28" s="335">
        <f>IF('Personnel Yr 1'!$K$5&gt;3,IF(NOT(OR(ISBLANK(L28),L28="")),(I28/8.5)*L28,""),0)</f>
        <v>0</v>
      </c>
      <c r="U28" s="335">
        <f t="shared" si="4"/>
        <v>0</v>
      </c>
      <c r="V28" s="335">
        <f t="shared" si="5"/>
        <v>0</v>
      </c>
      <c r="W28" s="335">
        <f t="shared" si="6"/>
        <v>0</v>
      </c>
      <c r="Y28" s="335">
        <v>28</v>
      </c>
      <c r="Z28" s="335" t="b">
        <f>IF('Personnel Yr 1'!$K$5&gt;3,IF(OR($O$5&lt;&gt;"Federal - NIH",OR(AND(ISBLANK(J28),ISBLANK(K28),ISBLANK(L28)),AND(J28="",K28="",L28=""))),FALSE,IF(J28&gt;0,I28&gt;NIHSalaryCap,I28&gt;(NIHSalaryCap*8.5)/12)),FALSE)</f>
        <v>0</v>
      </c>
    </row>
    <row r="29" spans="1:26" x14ac:dyDescent="0.2">
      <c r="A29" s="4">
        <v>10</v>
      </c>
      <c r="B29" s="5" t="str">
        <f>IF('Personnel Yr 1'!$K$5&gt;3,IF(NOT(OR(ISBLANK('Personnel Yr 3'!B29),'Personnel Yr 3'!B29="")),'Personnel Yr 3'!B29,""),"")</f>
        <v/>
      </c>
      <c r="C29" s="17" t="str">
        <f>IF('Personnel Yr 1'!$K$5&gt;3,IF(ISBLANK('Personnel Yr 3'!C29),"",'Personnel Yr 3'!C29),"")</f>
        <v/>
      </c>
      <c r="D29" s="17" t="str">
        <f>IF('Personnel Yr 1'!$K$5&gt;3,IF(ISBLANK('Personnel Yr 3'!D29),"",'Personnel Yr 3'!D29),"")</f>
        <v/>
      </c>
      <c r="E29" s="17" t="str">
        <f>IF('Personnel Yr 1'!$K$5&gt;3,IF(ISBLANK('Personnel Yr 3'!E29),"",'Personnel Yr 3'!E29),"")</f>
        <v/>
      </c>
      <c r="F29" s="17" t="str">
        <f>IF('Personnel Yr 1'!$K$5&gt;3,IF(ISBLANK('Personnel Yr 3'!F29),"",'Personnel Yr 3'!F29),"")</f>
        <v/>
      </c>
      <c r="G29" s="17" t="str">
        <f>IF('Personnel Yr 1'!$K$5&gt;3,IF(ISBLANK('Personnel Yr 3'!G29),"",'Personnel Yr 3'!G29),"")</f>
        <v/>
      </c>
      <c r="H29" s="17" t="str">
        <f>IF('Personnel Yr 1'!$K$5&gt;3,IF(ISBLANK('Personnel Yr 3'!H29),"",'Personnel Yr 3'!H29),"")</f>
        <v/>
      </c>
      <c r="I29" s="32" t="str">
        <f>IF('Personnel Yr 1'!$K$5&gt;3,IF(NOT(OR(ISBLANK('Personnel Yr 3'!I29),'Personnel Yr 3'!I29="")),(('Personnel Yr 3'!I29*'Personnel Yr 1'!$D$5)+'Personnel Yr 3'!I29),""),"")</f>
        <v/>
      </c>
      <c r="J29" s="17" t="str">
        <f>IF('Personnel Yr 1'!$K$5&gt;3,IF(AND(OR(ISBLANK(I29),I29=""),ISBLANK('Personnel Yr 3'!J29)),"",'Personnel Yr 3'!J29),"")</f>
        <v/>
      </c>
      <c r="K29" s="17" t="str">
        <f>IF('Personnel Yr 1'!$K$5&gt;3,IF(AND(OR(ISBLANK(J29),J29=""),ISBLANK('Personnel Yr 3'!K29)),"",'Personnel Yr 3'!K29),"")</f>
        <v/>
      </c>
      <c r="L29" s="17" t="str">
        <f>IF('Personnel Yr 1'!$K$5&gt;3,IF(AND(OR(ISBLANK(K29),K29=""),ISBLANK('Personnel Yr 3'!L29)),"",'Personnel Yr 3'!L29),"")</f>
        <v/>
      </c>
      <c r="M29" s="34" t="str">
        <f>IF('Personnel Yr 1'!$K$5&gt;3,IF(NOT(OR(ISBLANK(I29),I29="")), IF(OR(AND(ISBLANK(J29),ISBLANK(K29),ISBLANK(L29)),AND(J29="",K29="",L29="")),0, IF((AND((J29&gt;0),((K29+L29)&gt;0))),"Error", IF((J29&gt;0),ROUND((IF(AND('Personnel Yr 1'!$P$5&gt;0,I29&gt;'Personnel Yr 1'!$P$5),'Personnel Yr 1'!$P$5,I29)*(J29/12)),2),ROUND((IF(AND('Personnel Yr 1'!$P$5&gt;0,I29&gt;'Personnel Yr 1'!$P$5),'Personnel Yr 1'!$P$5,I29)*((K29+L29)/8.5)),2)))),""),"")</f>
        <v/>
      </c>
      <c r="N29" s="34" t="str">
        <f>IF('Personnel Yr 1'!$K$5&gt;3,IF(OR(ISBLANK(M29),M29=""),"",ROUND(SUM(U29:W29),2)),"")</f>
        <v/>
      </c>
      <c r="O29" s="41" t="str">
        <f>IF('Personnel Yr 1'!$K$5&gt;3,IF(OR(ISBLANK(N29),N29=""),"",ROUND(SUM(M29:N29),2)),"")</f>
        <v/>
      </c>
      <c r="P29" s="15"/>
      <c r="Q29" s="335">
        <f>IF('Personnel Yr 1'!$K$5&gt;3,IF(NOT(OR(ISBLANK(J29),J29="")),(I29/12)*J29,""),0)</f>
        <v>0</v>
      </c>
      <c r="R29" s="336">
        <f>IF('Personnel Yr 1'!$K$5&gt;3,IF(NOT(OR(ISBLANK(K29),K29="")),(I29/8.5)*K29,""),0)</f>
        <v>0</v>
      </c>
      <c r="S29" s="335">
        <f>IF('Personnel Yr 1'!$K$5&gt;3,IF(NOT(OR(ISBLANK(L29),L29="")),(I29/8.5)*L29,""),0)</f>
        <v>0</v>
      </c>
      <c r="U29" s="335">
        <f t="shared" si="4"/>
        <v>0</v>
      </c>
      <c r="V29" s="335">
        <f t="shared" si="5"/>
        <v>0</v>
      </c>
      <c r="W29" s="335">
        <f t="shared" si="6"/>
        <v>0</v>
      </c>
      <c r="Y29" s="335">
        <v>29</v>
      </c>
      <c r="Z29" s="335" t="b">
        <f>IF('Personnel Yr 1'!$K$5&gt;3,IF(OR($O$5&lt;&gt;"Federal - NIH",OR(AND(ISBLANK(J29),ISBLANK(K29),ISBLANK(L29)),AND(J29="",K29="",L29=""))),FALSE,IF(J29&gt;0,I29&gt;NIHSalaryCap,I29&gt;(NIHSalaryCap*8.5)/12)),FALSE)</f>
        <v>0</v>
      </c>
    </row>
    <row r="30" spans="1:26" x14ac:dyDescent="0.2">
      <c r="A30" s="4">
        <v>11</v>
      </c>
      <c r="B30" s="5" t="str">
        <f>IF('Personnel Yr 1'!$K$5&gt;3,IF(NOT(OR(ISBLANK('Personnel Yr 3'!B30),'Personnel Yr 3'!B30="")),'Personnel Yr 3'!B30,""),"")</f>
        <v/>
      </c>
      <c r="C30" s="17" t="str">
        <f>IF('Personnel Yr 1'!$K$5&gt;3,IF(ISBLANK('Personnel Yr 3'!C30),"",'Personnel Yr 3'!C30),"")</f>
        <v/>
      </c>
      <c r="D30" s="17" t="str">
        <f>IF('Personnel Yr 1'!$K$5&gt;3,IF(ISBLANK('Personnel Yr 3'!D30),"",'Personnel Yr 3'!D30),"")</f>
        <v/>
      </c>
      <c r="E30" s="17" t="str">
        <f>IF('Personnel Yr 1'!$K$5&gt;3,IF(ISBLANK('Personnel Yr 3'!E30),"",'Personnel Yr 3'!E30),"")</f>
        <v/>
      </c>
      <c r="F30" s="17" t="str">
        <f>IF('Personnel Yr 1'!$K$5&gt;3,IF(ISBLANK('Personnel Yr 3'!F30),"",'Personnel Yr 3'!F30),"")</f>
        <v/>
      </c>
      <c r="G30" s="17" t="str">
        <f>IF('Personnel Yr 1'!$K$5&gt;3,IF(ISBLANK('Personnel Yr 3'!G30),"",'Personnel Yr 3'!G30),"")</f>
        <v/>
      </c>
      <c r="H30" s="17" t="str">
        <f>IF('Personnel Yr 1'!$K$5&gt;3,IF(ISBLANK('Personnel Yr 3'!H30),"",'Personnel Yr 3'!H30),"")</f>
        <v/>
      </c>
      <c r="I30" s="32" t="str">
        <f>IF('Personnel Yr 1'!$K$5&gt;3,IF(NOT(OR(ISBLANK('Personnel Yr 3'!I30),'Personnel Yr 3'!I30="")),(('Personnel Yr 3'!I30*'Personnel Yr 1'!$D$5)+'Personnel Yr 3'!I30),""),"")</f>
        <v/>
      </c>
      <c r="J30" s="17" t="str">
        <f>IF('Personnel Yr 1'!$K$5&gt;3,IF(AND(OR(ISBLANK(I30),I30=""),ISBLANK('Personnel Yr 3'!J30)),"",'Personnel Yr 3'!J30),"")</f>
        <v/>
      </c>
      <c r="K30" s="17" t="str">
        <f>IF('Personnel Yr 1'!$K$5&gt;3,IF(AND(OR(ISBLANK(J30),J30=""),ISBLANK('Personnel Yr 3'!K30)),"",'Personnel Yr 3'!K30),"")</f>
        <v/>
      </c>
      <c r="L30" s="17" t="str">
        <f>IF('Personnel Yr 1'!$K$5&gt;3,IF(AND(OR(ISBLANK(K30),K30=""),ISBLANK('Personnel Yr 3'!L30)),"",'Personnel Yr 3'!L30),"")</f>
        <v/>
      </c>
      <c r="M30" s="34" t="str">
        <f>IF('Personnel Yr 1'!$K$5&gt;3,IF(NOT(OR(ISBLANK(I30),I30="")), IF(OR(AND(ISBLANK(J30),ISBLANK(K30),ISBLANK(L30)),AND(J30="",K30="",L30="")),0, IF((AND((J30&gt;0),((K30+L30)&gt;0))),"Error", IF((J30&gt;0),ROUND((IF(AND('Personnel Yr 1'!$P$5&gt;0,I30&gt;'Personnel Yr 1'!$P$5),'Personnel Yr 1'!$P$5,I30)*(J30/12)),2),ROUND((IF(AND('Personnel Yr 1'!$P$5&gt;0,I30&gt;'Personnel Yr 1'!$P$5),'Personnel Yr 1'!$P$5,I30)*((K30+L30)/8.5)),2)))),""),"")</f>
        <v/>
      </c>
      <c r="N30" s="34" t="str">
        <f>IF('Personnel Yr 1'!$K$5&gt;3,IF(OR(ISBLANK(M30),M30=""),"",ROUND(SUM(U30:W30),2)),"")</f>
        <v/>
      </c>
      <c r="O30" s="41" t="str">
        <f>IF('Personnel Yr 1'!$K$5&gt;3,IF(OR(ISBLANK(N30),N30=""),"",ROUND(SUM(M30:N30),2)),"")</f>
        <v/>
      </c>
      <c r="P30" s="187"/>
      <c r="Q30" s="335">
        <f>IF('Personnel Yr 1'!$K$5&gt;3,IF(NOT(OR(ISBLANK(J30),J30="")),(I30/12)*J30,""),0)</f>
        <v>0</v>
      </c>
      <c r="R30" s="336">
        <f>IF('Personnel Yr 1'!$K$5&gt;3,IF(NOT(OR(ISBLANK(K30),K30="")),(I30/8.5)*K30,""),0)</f>
        <v>0</v>
      </c>
      <c r="S30" s="335">
        <f>IF('Personnel Yr 1'!$K$5&gt;3,IF(NOT(OR(ISBLANK(L30),L30="")),(I30/8.5)*L30,""),0)</f>
        <v>0</v>
      </c>
      <c r="U30" s="335">
        <f t="shared" si="4"/>
        <v>0</v>
      </c>
      <c r="V30" s="335">
        <f t="shared" si="5"/>
        <v>0</v>
      </c>
      <c r="W30" s="335">
        <f t="shared" si="6"/>
        <v>0</v>
      </c>
      <c r="Y30" s="335">
        <v>30</v>
      </c>
      <c r="Z30" s="335" t="b">
        <f>IF('Personnel Yr 1'!$K$5&gt;3,IF(OR($O$5&lt;&gt;"Federal - NIH",OR(AND(ISBLANK(J30),ISBLANK(K30),ISBLANK(L30)),AND(J30="",K30="",L30=""))),FALSE,IF(J30&gt;0,I30&gt;NIHSalaryCap,I30&gt;(NIHSalaryCap*8.5)/12)),FALSE)</f>
        <v>0</v>
      </c>
    </row>
    <row r="31" spans="1:26" x14ac:dyDescent="0.2">
      <c r="A31" s="4">
        <v>12</v>
      </c>
      <c r="B31" s="5" t="str">
        <f>IF('Personnel Yr 1'!$K$5&gt;3,IF(NOT(OR(ISBLANK('Personnel Yr 3'!B31),'Personnel Yr 3'!B31="")),'Personnel Yr 3'!B31,""),"")</f>
        <v/>
      </c>
      <c r="C31" s="17" t="str">
        <f>IF('Personnel Yr 1'!$K$5&gt;3,IF(ISBLANK('Personnel Yr 3'!C31),"",'Personnel Yr 3'!C31),"")</f>
        <v/>
      </c>
      <c r="D31" s="17" t="str">
        <f>IF('Personnel Yr 1'!$K$5&gt;3,IF(ISBLANK('Personnel Yr 3'!D31),"",'Personnel Yr 3'!D31),"")</f>
        <v/>
      </c>
      <c r="E31" s="17" t="str">
        <f>IF('Personnel Yr 1'!$K$5&gt;3,IF(ISBLANK('Personnel Yr 3'!E31),"",'Personnel Yr 3'!E31),"")</f>
        <v/>
      </c>
      <c r="F31" s="17" t="str">
        <f>IF('Personnel Yr 1'!$K$5&gt;3,IF(ISBLANK('Personnel Yr 3'!F31),"",'Personnel Yr 3'!F31),"")</f>
        <v/>
      </c>
      <c r="G31" s="17" t="str">
        <f>IF('Personnel Yr 1'!$K$5&gt;3,IF(ISBLANK('Personnel Yr 3'!G31),"",'Personnel Yr 3'!G31),"")</f>
        <v/>
      </c>
      <c r="H31" s="17" t="str">
        <f>IF('Personnel Yr 1'!$K$5&gt;3,IF(ISBLANK('Personnel Yr 3'!H31),"",'Personnel Yr 3'!H31),"")</f>
        <v/>
      </c>
      <c r="I31" s="32" t="str">
        <f>IF('Personnel Yr 1'!$K$5&gt;3,IF(NOT(OR(ISBLANK('Personnel Yr 3'!I31),'Personnel Yr 3'!I31="")),(('Personnel Yr 3'!I31*'Personnel Yr 1'!$D$5)+'Personnel Yr 3'!I31),""),"")</f>
        <v/>
      </c>
      <c r="J31" s="17" t="str">
        <f>IF('Personnel Yr 1'!$K$5&gt;3,IF(AND(OR(ISBLANK(I31),I31=""),ISBLANK('Personnel Yr 3'!J31)),"",'Personnel Yr 3'!J31),"")</f>
        <v/>
      </c>
      <c r="K31" s="17" t="str">
        <f>IF('Personnel Yr 1'!$K$5&gt;3,IF(AND(OR(ISBLANK(J31),J31=""),ISBLANK('Personnel Yr 3'!K31)),"",'Personnel Yr 3'!K31),"")</f>
        <v/>
      </c>
      <c r="L31" s="17" t="str">
        <f>IF('Personnel Yr 1'!$K$5&gt;3,IF(AND(OR(ISBLANK(K31),K31=""),ISBLANK('Personnel Yr 3'!L31)),"",'Personnel Yr 3'!L31),"")</f>
        <v/>
      </c>
      <c r="M31" s="34" t="str">
        <f>IF('Personnel Yr 1'!$K$5&gt;3,IF(NOT(OR(ISBLANK(I31),I31="")), IF(OR(AND(ISBLANK(J31),ISBLANK(K31),ISBLANK(L31)),AND(J31="",K31="",L31="")),0, IF((AND((J31&gt;0),((K31+L31)&gt;0))),"Error", IF((J31&gt;0),ROUND((IF(AND('Personnel Yr 1'!$P$5&gt;0,I31&gt;'Personnel Yr 1'!$P$5),'Personnel Yr 1'!$P$5,I31)*(J31/12)),2),ROUND((IF(AND('Personnel Yr 1'!$P$5&gt;0,I31&gt;'Personnel Yr 1'!$P$5),'Personnel Yr 1'!$P$5,I31)*((K31+L31)/8.5)),2)))),""),"")</f>
        <v/>
      </c>
      <c r="N31" s="34" t="str">
        <f>IF('Personnel Yr 1'!$K$5&gt;3,IF(OR(ISBLANK(M31),M31=""),"",ROUND(SUM(U31:W31),2)),"")</f>
        <v/>
      </c>
      <c r="O31" s="41" t="str">
        <f>IF('Personnel Yr 1'!$K$5&gt;3,IF(OR(ISBLANK(N31),N31=""),"",ROUND(SUM(M31:N31),2)),"")</f>
        <v/>
      </c>
      <c r="P31" s="15"/>
      <c r="Q31" s="335">
        <f>IF('Personnel Yr 1'!$K$5&gt;3,IF(NOT(OR(ISBLANK(J31),J31="")),(I31/12)*J31,""),0)</f>
        <v>0</v>
      </c>
      <c r="R31" s="336">
        <f>IF('Personnel Yr 1'!$K$5&gt;3,IF(NOT(OR(ISBLANK(K31),K31="")),(I31/8.5)*K31,""),0)</f>
        <v>0</v>
      </c>
      <c r="S31" s="335">
        <f>IF('Personnel Yr 1'!$K$5&gt;3,IF(NOT(OR(ISBLANK(L31),L31="")),(I31/8.5)*L31,""),0)</f>
        <v>0</v>
      </c>
      <c r="U31" s="335">
        <f t="shared" si="4"/>
        <v>0</v>
      </c>
      <c r="V31" s="335">
        <f t="shared" si="5"/>
        <v>0</v>
      </c>
      <c r="W31" s="335">
        <f t="shared" si="6"/>
        <v>0</v>
      </c>
      <c r="Y31" s="335">
        <v>31</v>
      </c>
      <c r="Z31" s="335" t="b">
        <f>IF('Personnel Yr 1'!$K$5&gt;3,IF(OR($O$5&lt;&gt;"Federal - NIH",OR(AND(ISBLANK(J31),ISBLANK(K31),ISBLANK(L31)),AND(J31="",K31="",L31=""))),FALSE,IF(J31&gt;0,I31&gt;NIHSalaryCap,I31&gt;(NIHSalaryCap*8.5)/12)),FALSE)</f>
        <v>0</v>
      </c>
    </row>
    <row r="32" spans="1:26" x14ac:dyDescent="0.2">
      <c r="A32" s="4">
        <v>13</v>
      </c>
      <c r="B32" s="57" t="str">
        <f>IF('Personnel Yr 1'!$K$5&gt;3,IF(NOT(OR(ISBLANK('Personnel Yr 3'!B32),'Personnel Yr 3'!B32="")),'Personnel Yr 3'!B32,""),"")</f>
        <v/>
      </c>
      <c r="C32" s="54" t="str">
        <f>IF('Personnel Yr 1'!$K$5&gt;3,IF(ISBLANK('Personnel Yr 3'!C32),"",'Personnel Yr 3'!C32),"")</f>
        <v/>
      </c>
      <c r="D32" s="54" t="str">
        <f>IF('Personnel Yr 1'!$K$5&gt;3,IF(ISBLANK('Personnel Yr 3'!D32),"",'Personnel Yr 3'!D32),"")</f>
        <v/>
      </c>
      <c r="E32" s="54" t="str">
        <f>IF('Personnel Yr 1'!$K$5&gt;3,IF(ISBLANK('Personnel Yr 3'!E32),"",'Personnel Yr 3'!E32),"")</f>
        <v/>
      </c>
      <c r="F32" s="54" t="str">
        <f>IF('Personnel Yr 1'!$K$5&gt;3,IF(ISBLANK('Personnel Yr 3'!F32),"",'Personnel Yr 3'!F32),"")</f>
        <v/>
      </c>
      <c r="G32" s="54" t="str">
        <f>IF('Personnel Yr 1'!$K$5&gt;3,IF(ISBLANK('Personnel Yr 3'!G32),"",'Personnel Yr 3'!G32),"")</f>
        <v/>
      </c>
      <c r="H32" s="17" t="str">
        <f>IF('Personnel Yr 1'!$K$5&gt;3,IF(ISBLANK('Personnel Yr 3'!H32),"",'Personnel Yr 3'!H32),"")</f>
        <v/>
      </c>
      <c r="I32" s="32" t="str">
        <f>IF('Personnel Yr 1'!$K$5&gt;3,IF(NOT(OR(ISBLANK('Personnel Yr 3'!I32),'Personnel Yr 3'!I32="")),(('Personnel Yr 3'!I32*'Personnel Yr 1'!$D$5)+'Personnel Yr 3'!I32),""),"")</f>
        <v/>
      </c>
      <c r="J32" s="17" t="str">
        <f>IF('Personnel Yr 1'!$K$5&gt;3,IF(AND(OR(ISBLANK(I32),I32=""),ISBLANK('Personnel Yr 3'!J32)),"",'Personnel Yr 3'!J32),"")</f>
        <v/>
      </c>
      <c r="K32" s="17" t="str">
        <f>IF('Personnel Yr 1'!$K$5&gt;3,IF(AND(OR(ISBLANK(J32),J32=""),ISBLANK('Personnel Yr 3'!K32)),"",'Personnel Yr 3'!K32),"")</f>
        <v/>
      </c>
      <c r="L32" s="17" t="str">
        <f>IF('Personnel Yr 1'!$K$5&gt;3,IF(AND(OR(ISBLANK(K32),K32=""),ISBLANK('Personnel Yr 3'!L32)),"",'Personnel Yr 3'!L32),"")</f>
        <v/>
      </c>
      <c r="M32" s="34" t="str">
        <f>IF('Personnel Yr 1'!$K$5&gt;3,IF(NOT(OR(ISBLANK(I32),I32="")), IF(OR(AND(ISBLANK(J32),ISBLANK(K32),ISBLANK(L32)),AND(J32="",K32="",L32="")),0, IF((AND((J32&gt;0),((K32+L32)&gt;0))),"Error", IF((J32&gt;0),ROUND((IF(AND('Personnel Yr 1'!$P$5&gt;0,I32&gt;'Personnel Yr 1'!$P$5),'Personnel Yr 1'!$P$5,I32)*(J32/12)),2),ROUND((IF(AND('Personnel Yr 1'!$P$5&gt;0,I32&gt;'Personnel Yr 1'!$P$5),'Personnel Yr 1'!$P$5,I32)*((K32+L32)/8.5)),2)))),""),"")</f>
        <v/>
      </c>
      <c r="N32" s="39" t="str">
        <f>IF('Personnel Yr 1'!$K$5&gt;3,IF(OR(ISBLANK(M32),M32=""),"",ROUND(SUM(U32:W32),2)),"")</f>
        <v/>
      </c>
      <c r="O32" s="40" t="str">
        <f>IF('Personnel Yr 1'!$K$5&gt;3,IF(OR(ISBLANK(N32),N32=""),"",ROUND(SUM(M32:N32),2)),"")</f>
        <v/>
      </c>
      <c r="P32" s="14"/>
      <c r="Q32" s="335">
        <f>IF('Personnel Yr 1'!$K$5&gt;3,IF(NOT(OR(ISBLANK(J32),J32="")),(I32/12)*J32,""),0)</f>
        <v>0</v>
      </c>
      <c r="R32" s="336">
        <f>IF('Personnel Yr 1'!$K$5&gt;3,IF(NOT(OR(ISBLANK(K32),K32="")),(I32/8.5)*K32,""),0)</f>
        <v>0</v>
      </c>
      <c r="S32" s="335">
        <f>IF('Personnel Yr 1'!$K$5&gt;3,IF(NOT(OR(ISBLANK(L32),L32="")),(I32/8.5)*L32,""),0)</f>
        <v>0</v>
      </c>
      <c r="U32" s="335">
        <f t="shared" si="4"/>
        <v>0</v>
      </c>
      <c r="V32" s="335">
        <f t="shared" si="5"/>
        <v>0</v>
      </c>
      <c r="W32" s="335">
        <f t="shared" si="6"/>
        <v>0</v>
      </c>
      <c r="Y32" s="335">
        <v>32</v>
      </c>
      <c r="Z32" s="335" t="b">
        <f>IF('Personnel Yr 1'!$K$5&gt;3,IF(OR($O$5&lt;&gt;"Federal - NIH",OR(AND(ISBLANK(J32),ISBLANK(K32),ISBLANK(L32)),AND(J32="",K32="",L32=""))),FALSE,IF(J32&gt;0,I32&gt;NIHSalaryCap,I32&gt;(NIHSalaryCap*8.5)/12)),FALSE)</f>
        <v>0</v>
      </c>
    </row>
    <row r="33" spans="1:26" x14ac:dyDescent="0.2">
      <c r="A33" s="4">
        <v>14</v>
      </c>
      <c r="B33" s="5" t="str">
        <f>IF('Personnel Yr 1'!$K$5&gt;3,IF(NOT(OR(ISBLANK('Personnel Yr 3'!B33),'Personnel Yr 3'!B33="")),'Personnel Yr 3'!B33,""),"")</f>
        <v/>
      </c>
      <c r="C33" s="17" t="str">
        <f>IF('Personnel Yr 1'!$K$5&gt;3,IF(ISBLANK('Personnel Yr 3'!C33),"",'Personnel Yr 3'!C33),"")</f>
        <v/>
      </c>
      <c r="D33" s="17" t="str">
        <f>IF('Personnel Yr 1'!$K$5&gt;3,IF(ISBLANK('Personnel Yr 3'!D33),"",'Personnel Yr 3'!D33),"")</f>
        <v/>
      </c>
      <c r="E33" s="17" t="str">
        <f>IF('Personnel Yr 1'!$K$5&gt;3,IF(ISBLANK('Personnel Yr 3'!E33),"",'Personnel Yr 3'!E33),"")</f>
        <v/>
      </c>
      <c r="F33" s="17" t="str">
        <f>IF('Personnel Yr 1'!$K$5&gt;3,IF(ISBLANK('Personnel Yr 3'!F33),"",'Personnel Yr 3'!F33),"")</f>
        <v/>
      </c>
      <c r="G33" s="17" t="str">
        <f>IF('Personnel Yr 1'!$K$5&gt;3,IF(ISBLANK('Personnel Yr 3'!G33),"",'Personnel Yr 3'!G33),"")</f>
        <v/>
      </c>
      <c r="H33" s="17" t="str">
        <f>IF('Personnel Yr 1'!$K$5&gt;3,IF(ISBLANK('Personnel Yr 3'!H33),"",'Personnel Yr 3'!H33),"")</f>
        <v/>
      </c>
      <c r="I33" s="32" t="str">
        <f>IF('Personnel Yr 1'!$K$5&gt;3,IF(NOT(OR(ISBLANK('Personnel Yr 3'!I33),'Personnel Yr 3'!I33="")),(('Personnel Yr 3'!I33*'Personnel Yr 1'!$D$5)+'Personnel Yr 3'!I33),""),"")</f>
        <v/>
      </c>
      <c r="J33" s="17" t="str">
        <f>IF('Personnel Yr 1'!$K$5&gt;3,IF(AND(OR(ISBLANK(I33),I33=""),ISBLANK('Personnel Yr 3'!J33)),"",'Personnel Yr 3'!J33),"")</f>
        <v/>
      </c>
      <c r="K33" s="17" t="str">
        <f>IF('Personnel Yr 1'!$K$5&gt;3,IF(AND(OR(ISBLANK(J33),J33=""),ISBLANK('Personnel Yr 3'!K33)),"",'Personnel Yr 3'!K33),"")</f>
        <v/>
      </c>
      <c r="L33" s="17" t="str">
        <f>IF('Personnel Yr 1'!$K$5&gt;3,IF(AND(OR(ISBLANK(K33),K33=""),ISBLANK('Personnel Yr 3'!L33)),"",'Personnel Yr 3'!L33),"")</f>
        <v/>
      </c>
      <c r="M33" s="34" t="str">
        <f>IF('Personnel Yr 1'!$K$5&gt;3,IF(NOT(OR(ISBLANK(I33),I33="")), IF(OR(AND(ISBLANK(J33),ISBLANK(K33),ISBLANK(L33)),AND(J33="",K33="",L33="")),0, IF((AND((J33&gt;0),((K33+L33)&gt;0))),"Error", IF((J33&gt;0),ROUND((IF(AND('Personnel Yr 1'!$P$5&gt;0,I33&gt;'Personnel Yr 1'!$P$5),'Personnel Yr 1'!$P$5,I33)*(J33/12)),2),ROUND((IF(AND('Personnel Yr 1'!$P$5&gt;0,I33&gt;'Personnel Yr 1'!$P$5),'Personnel Yr 1'!$P$5,I33)*((K33+L33)/8.5)),2)))),""),"")</f>
        <v/>
      </c>
      <c r="N33" s="34" t="str">
        <f>IF('Personnel Yr 1'!$K$5&gt;3,IF(OR(ISBLANK(M33),M33=""),"",ROUND(SUM(U33:W33),2)),"")</f>
        <v/>
      </c>
      <c r="O33" s="41" t="str">
        <f>IF('Personnel Yr 1'!$K$5&gt;3,IF(OR(ISBLANK(N33),N33=""),"",ROUND(SUM(M33:N33),2)),"")</f>
        <v/>
      </c>
      <c r="P33" s="187"/>
      <c r="Q33" s="335">
        <f>IF('Personnel Yr 1'!$K$5&gt;3,IF(NOT(OR(ISBLANK(J33),J33="")),(I33/12)*J33,""),0)</f>
        <v>0</v>
      </c>
      <c r="R33" s="336">
        <f>IF('Personnel Yr 1'!$K$5&gt;3,IF(NOT(OR(ISBLANK(K33),K33="")),(I33/8.5)*K33,""),0)</f>
        <v>0</v>
      </c>
      <c r="S33" s="335">
        <f>IF('Personnel Yr 1'!$K$5&gt;3,IF(NOT(OR(ISBLANK(L33),L33="")),(I33/8.5)*L33,""),0)</f>
        <v>0</v>
      </c>
      <c r="U33" s="335">
        <f t="shared" si="4"/>
        <v>0</v>
      </c>
      <c r="V33" s="335">
        <f t="shared" si="5"/>
        <v>0</v>
      </c>
      <c r="W33" s="335">
        <f t="shared" si="6"/>
        <v>0</v>
      </c>
      <c r="Y33" s="335">
        <v>33</v>
      </c>
      <c r="Z33" s="335" t="b">
        <f>IF('Personnel Yr 1'!$K$5&gt;3,IF(OR($O$5&lt;&gt;"Federal - NIH",OR(AND(ISBLANK(J33),ISBLANK(K33),ISBLANK(L33)),AND(J33="",K33="",L33=""))),FALSE,IF(J33&gt;0,I33&gt;NIHSalaryCap,I33&gt;(NIHSalaryCap*8.5)/12)),FALSE)</f>
        <v>0</v>
      </c>
    </row>
    <row r="34" spans="1:26" ht="12.75" customHeight="1" thickBot="1" x14ac:dyDescent="0.25">
      <c r="A34" s="4">
        <v>15</v>
      </c>
      <c r="B34" s="202" t="str">
        <f>IF('Personnel Yr 1'!$K$5&gt;3,IF(NOT(OR(ISBLANK('Personnel Yr 3'!B34),'Personnel Yr 3'!B34="")),'Personnel Yr 3'!B34,""),"")</f>
        <v/>
      </c>
      <c r="C34" s="22" t="str">
        <f>IF('Personnel Yr 1'!$K$5&gt;3,IF(ISBLANK('Personnel Yr 3'!C34),"",'Personnel Yr 3'!C34),"")</f>
        <v/>
      </c>
      <c r="D34" s="22" t="str">
        <f>IF('Personnel Yr 1'!$K$5&gt;3,IF(ISBLANK('Personnel Yr 3'!D34),"",'Personnel Yr 3'!D34),"")</f>
        <v/>
      </c>
      <c r="E34" s="22" t="str">
        <f>IF('Personnel Yr 1'!$K$5&gt;3,IF(ISBLANK('Personnel Yr 3'!E34),"",'Personnel Yr 3'!E34),"")</f>
        <v/>
      </c>
      <c r="F34" s="22" t="str">
        <f>IF('Personnel Yr 1'!$K$5&gt;3,IF(ISBLANK('Personnel Yr 3'!F34),"",'Personnel Yr 3'!F34),"")</f>
        <v/>
      </c>
      <c r="G34" s="206" t="str">
        <f>IF('Personnel Yr 1'!$K$5&gt;3,IF(ISBLANK('Personnel Yr 3'!G34),"",'Personnel Yr 3'!G34),"")</f>
        <v/>
      </c>
      <c r="H34" s="22" t="str">
        <f>IF('Personnel Yr 1'!$K$5&gt;3,IF(ISBLANK('Personnel Yr 3'!H34),"",'Personnel Yr 3'!H34),"")</f>
        <v/>
      </c>
      <c r="I34" s="33" t="str">
        <f>IF('Personnel Yr 1'!$K$5&gt;3,IF(NOT(OR(ISBLANK('Personnel Yr 3'!I34),'Personnel Yr 3'!I34="")),(('Personnel Yr 3'!I34*'Personnel Yr 1'!$D$5)+'Personnel Yr 3'!I34),""),"")</f>
        <v/>
      </c>
      <c r="J34" s="22" t="str">
        <f>IF('Personnel Yr 1'!$K$5&gt;3,IF(AND(OR(ISBLANK(I34),I34=""),ISBLANK('Personnel Yr 3'!J34)),"",'Personnel Yr 3'!J34),"")</f>
        <v/>
      </c>
      <c r="K34" s="22" t="str">
        <f>IF('Personnel Yr 1'!$K$5&gt;3,IF(AND(OR(ISBLANK(J34),J34=""),ISBLANK('Personnel Yr 3'!K34)),"",'Personnel Yr 3'!K34),"")</f>
        <v/>
      </c>
      <c r="L34" s="22" t="str">
        <f>IF('Personnel Yr 1'!$K$5&gt;3,IF(AND(OR(ISBLANK(K34),K34=""),ISBLANK('Personnel Yr 3'!L34)),"",'Personnel Yr 3'!L34),"")</f>
        <v/>
      </c>
      <c r="M34" s="42" t="str">
        <f>IF('Personnel Yr 1'!$K$5&gt;3,IF(NOT(OR(ISBLANK(I34),I34="")), IF(OR(AND(ISBLANK(J34),ISBLANK(K34),ISBLANK(L34)),AND(J34="",K34="",L34="")),0, IF((AND((J34&gt;0),((K34+L34)&gt;0))),"Error", IF((J34&gt;0),ROUND((IF(AND('Personnel Yr 1'!$P$5&gt;0,I34&gt;'Personnel Yr 1'!$P$5),'Personnel Yr 1'!$P$5,I34)*(J34/12)),2),ROUND((IF(AND('Personnel Yr 1'!$P$5&gt;0,I34&gt;'Personnel Yr 1'!$P$5),'Personnel Yr 1'!$P$5,I34)*((K34+L34)/8.5)),2)))),""),"")</f>
        <v/>
      </c>
      <c r="N34" s="207" t="str">
        <f>IF('Personnel Yr 1'!$K$5&gt;3,IF(OR(ISBLANK(M34),M34=""),"",ROUND(SUM(U34:W34),2)),"")</f>
        <v/>
      </c>
      <c r="O34" s="208" t="str">
        <f>IF('Personnel Yr 1'!$K$5&gt;3,IF(OR(ISBLANK(N34),N34=""),"",ROUND(SUM(M34:N34),2)),"")</f>
        <v/>
      </c>
      <c r="P34" s="189"/>
      <c r="Q34" s="335">
        <f>IF('Personnel Yr 1'!$K$5&gt;3,IF(NOT(OR(ISBLANK(J34),J34="")),(I34/12)*J34,""),0)</f>
        <v>0</v>
      </c>
      <c r="R34" s="336">
        <f>IF('Personnel Yr 1'!$K$5&gt;3,IF(NOT(OR(ISBLANK(K34),K34="")),(I34/8.5)*K34,""),0)</f>
        <v>0</v>
      </c>
      <c r="S34" s="335">
        <f>IF('Personnel Yr 1'!$K$5&gt;3,IF(NOT(OR(ISBLANK(L34),L34="")),(I34/8.5)*L34,""),0)</f>
        <v>0</v>
      </c>
      <c r="U34" s="335">
        <f t="shared" si="4"/>
        <v>0</v>
      </c>
      <c r="V34" s="335">
        <f t="shared" si="5"/>
        <v>0</v>
      </c>
      <c r="W34" s="335">
        <f t="shared" si="6"/>
        <v>0</v>
      </c>
      <c r="Y34" s="335">
        <v>34</v>
      </c>
      <c r="Z34" s="335" t="b">
        <f>IF('Personnel Yr 1'!$K$5&gt;3,IF(OR($O$5&lt;&gt;"Federal - NIH",OR(AND(ISBLANK(J34),ISBLANK(K34),ISBLANK(L34)),AND(J34="",K34="",L34=""))),FALSE,IF(J34&gt;0,I34&gt;NIHSalaryCap,I34&gt;(NIHSalaryCap*8.5)/12)),FALSE)</f>
        <v>0</v>
      </c>
    </row>
    <row r="35" spans="1:26" ht="13.5" thickBot="1" x14ac:dyDescent="0.25">
      <c r="B35" s="20">
        <f>ROWS(E20:E34)-COUNTIF(E20:E34,"")</f>
        <v>0</v>
      </c>
      <c r="O35" s="45">
        <f>SUM(O20:O34)</f>
        <v>0</v>
      </c>
      <c r="Q35" s="335">
        <f>SUM(Q20:Q34)</f>
        <v>0</v>
      </c>
      <c r="R35" s="335">
        <f t="shared" ref="R35:W35" si="7">SUM(R20:R34)</f>
        <v>0</v>
      </c>
      <c r="S35" s="335">
        <f t="shared" si="7"/>
        <v>0</v>
      </c>
      <c r="U35" s="335">
        <f t="shared" si="7"/>
        <v>0</v>
      </c>
      <c r="V35" s="335">
        <f t="shared" si="7"/>
        <v>0</v>
      </c>
      <c r="W35" s="335">
        <f t="shared" si="7"/>
        <v>0</v>
      </c>
    </row>
    <row r="36" spans="1:26" x14ac:dyDescent="0.2">
      <c r="K36" s="9"/>
      <c r="L36" s="9"/>
      <c r="M36" s="9"/>
      <c r="N36" s="9"/>
    </row>
    <row r="37" spans="1:26" x14ac:dyDescent="0.2">
      <c r="B37" s="516" t="s">
        <v>6</v>
      </c>
      <c r="C37" s="516"/>
      <c r="D37" s="545" t="s">
        <v>577</v>
      </c>
      <c r="E37" s="546"/>
      <c r="F37" s="546"/>
      <c r="G37" s="546"/>
      <c r="H37" s="546"/>
      <c r="I37" s="546"/>
      <c r="J37" s="546"/>
      <c r="K37" s="546"/>
      <c r="L37" s="546"/>
    </row>
    <row r="38" spans="1:26" ht="26.25" thickBot="1" x14ac:dyDescent="0.25">
      <c r="B38" s="10" t="s">
        <v>7</v>
      </c>
      <c r="C38" s="11"/>
      <c r="D38" s="11"/>
      <c r="E38" s="11"/>
      <c r="F38" s="11"/>
      <c r="G38" s="11"/>
      <c r="H38" s="404"/>
      <c r="I38" s="2" t="s">
        <v>61</v>
      </c>
      <c r="J38" s="2" t="s">
        <v>56</v>
      </c>
      <c r="K38" s="2" t="s">
        <v>57</v>
      </c>
      <c r="L38" s="2" t="s">
        <v>58</v>
      </c>
      <c r="M38" s="2" t="s">
        <v>41</v>
      </c>
      <c r="N38" s="3" t="s">
        <v>42</v>
      </c>
      <c r="O38" s="3" t="s">
        <v>38</v>
      </c>
      <c r="P38" s="2" t="s">
        <v>224</v>
      </c>
    </row>
    <row r="39" spans="1:26" x14ac:dyDescent="0.2">
      <c r="B39" s="12" t="str">
        <f>IF('Personnel Yr 1'!$K$5&gt;3,IF(OR(ISBLANK('Personnel Yr 3'!B39),'Personnel Yr 3'!B39=""),"",'Personnel Yr 3'!B39),"")</f>
        <v/>
      </c>
      <c r="C39" s="547" t="s">
        <v>538</v>
      </c>
      <c r="D39" s="548"/>
      <c r="E39" s="548"/>
      <c r="F39" s="548"/>
      <c r="G39" s="548"/>
      <c r="H39" s="548"/>
      <c r="I39" s="549"/>
      <c r="J39" s="419" t="str">
        <f>IF('Personnel Yr 1'!$K$5&gt;1,IF(OR(ISBLANK('Personnel Yr 1'!J39),'Personnel Yr 1'!J39=""),"",'Personnel Yr 1'!J39),"")</f>
        <v/>
      </c>
      <c r="K39" s="419" t="str">
        <f>IF('Personnel Yr 1'!$K$5&gt;1,IF(OR(ISBLANK('Personnel Yr 1'!K39),'Personnel Yr 1'!K39=""),"",'Personnel Yr 1'!K39),"")</f>
        <v/>
      </c>
      <c r="L39" s="419" t="str">
        <f>IF('Personnel Yr 1'!$K$5&gt;1,IF(OR(ISBLANK('Personnel Yr 1'!L39),'Personnel Yr 1'!L39=""),"",'Personnel Yr 1'!L39),"")</f>
        <v/>
      </c>
      <c r="M39" s="35" t="str">
        <f t="shared" ref="M39:M48" si="8">IF(COUNTIF($G$53:$G$67,C39)=0,"",SUMIF($G$53:$G$72,C39,$M$53:$M$72))</f>
        <v/>
      </c>
      <c r="N39" s="35" t="str">
        <f>IF(M39="","",ROUND(M39*_xlfn.XLOOKUP("Full",Ben,Per),2))</f>
        <v/>
      </c>
      <c r="O39" s="36" t="str">
        <f t="shared" ref="O39:O48" si="9">IF(M39="","",ROUND(SUM(M39:N39),2))</f>
        <v/>
      </c>
      <c r="P39" s="282"/>
    </row>
    <row r="40" spans="1:26" x14ac:dyDescent="0.2">
      <c r="B40" s="15" t="str">
        <f>IF('Personnel Yr 1'!$K$5&gt;3,IF(OR(ISBLANK('Personnel Yr 3'!B40),'Personnel Yr 3'!B40=""),"",'Personnel Yr 3'!B40),"")</f>
        <v/>
      </c>
      <c r="C40" s="499" t="s">
        <v>529</v>
      </c>
      <c r="D40" s="553"/>
      <c r="E40" s="553"/>
      <c r="F40" s="553"/>
      <c r="G40" s="553"/>
      <c r="H40" s="553"/>
      <c r="I40" s="554"/>
      <c r="J40" s="420"/>
      <c r="K40" s="420"/>
      <c r="L40" s="420"/>
      <c r="M40" s="34" t="str">
        <f t="shared" si="8"/>
        <v/>
      </c>
      <c r="N40" s="34" t="str">
        <f>IF(M40="","",ROUND(M40*_xlfn.XLOOKUP("Full",Ben,Per),2))</f>
        <v/>
      </c>
      <c r="O40" s="41" t="str">
        <f t="shared" si="9"/>
        <v/>
      </c>
      <c r="P40" s="413"/>
    </row>
    <row r="41" spans="1:26" x14ac:dyDescent="0.2">
      <c r="B41" s="15" t="str">
        <f>IF('Personnel Yr 1'!$K$5&gt;3,IF(OR(ISBLANK('Personnel Yr 3'!B41),'Personnel Yr 3'!B41=""),"",'Personnel Yr 3'!B41),"")</f>
        <v/>
      </c>
      <c r="C41" s="499" t="s">
        <v>545</v>
      </c>
      <c r="D41" s="553"/>
      <c r="E41" s="553"/>
      <c r="F41" s="553"/>
      <c r="G41" s="553"/>
      <c r="H41" s="553"/>
      <c r="I41" s="554"/>
      <c r="J41" s="420"/>
      <c r="K41" s="420"/>
      <c r="L41" s="420"/>
      <c r="M41" s="34" t="str">
        <f t="shared" si="8"/>
        <v/>
      </c>
      <c r="N41" s="34" t="str">
        <f>IF(M41="","",ROUND(M41*_xlfn.XLOOKUP("Temp",Ben,Per),2))</f>
        <v/>
      </c>
      <c r="O41" s="41" t="str">
        <f t="shared" si="9"/>
        <v/>
      </c>
      <c r="P41" s="413"/>
    </row>
    <row r="42" spans="1:26" x14ac:dyDescent="0.2">
      <c r="B42" s="15" t="str">
        <f>IF('Personnel Yr 1'!$K$5&gt;3,IF(OR(ISBLANK('Personnel Yr 3'!B42),'Personnel Yr 3'!B42=""),"",'Personnel Yr 3'!B42),"")</f>
        <v/>
      </c>
      <c r="C42" s="511" t="s">
        <v>584</v>
      </c>
      <c r="D42" s="500"/>
      <c r="E42" s="500"/>
      <c r="F42" s="500"/>
      <c r="G42" s="500"/>
      <c r="H42" s="500"/>
      <c r="I42" s="512"/>
      <c r="J42" s="421" t="str">
        <f>IF('Personnel Yr 1'!$K$5&gt;1,IF(OR(ISBLANK('Personnel Yr 1'!J42),'Personnel Yr 1'!J42=""),"",'Personnel Yr 1'!J42),"")</f>
        <v/>
      </c>
      <c r="K42" s="421" t="str">
        <f>IF('Personnel Yr 1'!$K$5&gt;1,IF(OR(ISBLANK('Personnel Yr 1'!K42),'Personnel Yr 1'!K42=""),"",'Personnel Yr 1'!K42),"")</f>
        <v/>
      </c>
      <c r="L42" s="421" t="str">
        <f>IF('Personnel Yr 1'!$K$5&gt;1,IF(OR(ISBLANK('Personnel Yr 1'!L42),'Personnel Yr 1'!L42=""),"",'Personnel Yr 1'!L42),"")</f>
        <v/>
      </c>
      <c r="M42" s="34" t="str">
        <f t="shared" si="8"/>
        <v/>
      </c>
      <c r="N42" s="39" t="str">
        <f>IF(M42="","",ROUND(M42*_xlfn.XLOOKUP("Full",Ben,Per),2))</f>
        <v/>
      </c>
      <c r="O42" s="40" t="str">
        <f t="shared" si="9"/>
        <v/>
      </c>
      <c r="P42" s="283"/>
    </row>
    <row r="43" spans="1:26" x14ac:dyDescent="0.2">
      <c r="B43" s="15" t="str">
        <f>IF('Personnel Yr 1'!$K$5&gt;3,IF(OR(ISBLANK('Personnel Yr 3'!B43),'Personnel Yr 3'!B43=""),"",'Personnel Yr 3'!B43),"")</f>
        <v/>
      </c>
      <c r="C43" s="499" t="s">
        <v>578</v>
      </c>
      <c r="D43" s="500"/>
      <c r="E43" s="500"/>
      <c r="F43" s="500"/>
      <c r="G43" s="393"/>
      <c r="H43" s="393"/>
      <c r="I43" s="16" t="str">
        <f>IF('Personnel Yr 1'!$K$5&gt;3,IF(OR(ISBLANK('Personnel Yr 3'!I43),'Personnel Yr 3'!I43=""),"",'Personnel Yr 3'!I43),"")</f>
        <v/>
      </c>
      <c r="J43" s="422" t="str">
        <f>IF('Personnel Yr 1'!$K$5&gt;1,IF(OR(ISBLANK('Personnel Yr 1'!J43),'Personnel Yr 1'!J43=""),"",'Personnel Yr 1'!J43),"")</f>
        <v/>
      </c>
      <c r="K43" s="422" t="str">
        <f>IF('Personnel Yr 1'!$K$5&gt;1,IF(OR(ISBLANK('Personnel Yr 1'!K43),'Personnel Yr 1'!K43=""),"",'Personnel Yr 1'!K43),"")</f>
        <v/>
      </c>
      <c r="L43" s="422" t="str">
        <f>IF('Personnel Yr 1'!$K$5&gt;1,IF(OR(ISBLANK('Personnel Yr 1'!L43),'Personnel Yr 1'!L43=""),"",'Personnel Yr 1'!L43),"")</f>
        <v/>
      </c>
      <c r="M43" s="34" t="str">
        <f t="shared" si="8"/>
        <v/>
      </c>
      <c r="N43" s="37" t="str">
        <f>IF(M43="","",ROUND(M43*_xlfn.XLOOKUP(I43,Grad,GradR),2))</f>
        <v/>
      </c>
      <c r="O43" s="40" t="str">
        <f t="shared" si="9"/>
        <v/>
      </c>
      <c r="P43" s="283"/>
    </row>
    <row r="44" spans="1:26" x14ac:dyDescent="0.2">
      <c r="B44" s="15" t="str">
        <f>IF('Personnel Yr 1'!$K$5&gt;3,IF(OR(ISBLANK('Personnel Yr 3'!B44),'Personnel Yr 3'!B44=""),"",'Personnel Yr 3'!B44),"")</f>
        <v/>
      </c>
      <c r="C44" s="511" t="s">
        <v>583</v>
      </c>
      <c r="D44" s="500"/>
      <c r="E44" s="500"/>
      <c r="F44" s="500"/>
      <c r="G44" s="500"/>
      <c r="H44" s="500"/>
      <c r="I44" s="501"/>
      <c r="J44" s="423" t="str">
        <f>IF('Personnel Yr 1'!$K$5&gt;1,IF(OR(ISBLANK('Personnel Yr 1'!J44),'Personnel Yr 1'!J44=""),"",'Personnel Yr 1'!J44),"")</f>
        <v/>
      </c>
      <c r="K44" s="423" t="str">
        <f>IF('Personnel Yr 1'!$K$5&gt;1,IF(OR(ISBLANK('Personnel Yr 1'!K44),'Personnel Yr 1'!K44=""),"",'Personnel Yr 1'!K44),"")</f>
        <v/>
      </c>
      <c r="L44" s="423" t="str">
        <f>IF('Personnel Yr 1'!$K$5&gt;1,IF(OR(ISBLANK('Personnel Yr 1'!L44),'Personnel Yr 1'!L44=""),"",'Personnel Yr 1'!L44),"")</f>
        <v/>
      </c>
      <c r="M44" s="34" t="str">
        <f t="shared" si="8"/>
        <v/>
      </c>
      <c r="N44" s="37" t="str">
        <f>IF(M44="","",ROUND(M44*_xlfn.XLOOKUP("Temp",Ben,Per),2))</f>
        <v/>
      </c>
      <c r="O44" s="40" t="str">
        <f t="shared" si="9"/>
        <v/>
      </c>
      <c r="P44" s="283"/>
    </row>
    <row r="45" spans="1:26" x14ac:dyDescent="0.2">
      <c r="B45" s="15" t="str">
        <f>IF('Personnel Yr 1'!$K$5&gt;3,IF(OR(ISBLANK('Personnel Yr 3'!B45),'Personnel Yr 3'!B45=""),"",'Personnel Yr 3'!B45),"")</f>
        <v/>
      </c>
      <c r="C45" s="499" t="s">
        <v>537</v>
      </c>
      <c r="D45" s="500"/>
      <c r="E45" s="500"/>
      <c r="F45" s="500"/>
      <c r="G45" s="500"/>
      <c r="H45" s="500"/>
      <c r="I45" s="501"/>
      <c r="J45" s="423" t="str">
        <f>IF('Personnel Yr 1'!$K$5&gt;1,IF(OR(ISBLANK('Personnel Yr 1'!J45),'Personnel Yr 1'!J45=""),"",'Personnel Yr 1'!J45),"")</f>
        <v/>
      </c>
      <c r="K45" s="423" t="str">
        <f>IF('Personnel Yr 1'!$K$5&gt;1,IF(OR(ISBLANK('Personnel Yr 1'!K45),'Personnel Yr 1'!K45=""),"",'Personnel Yr 1'!K45),"")</f>
        <v/>
      </c>
      <c r="L45" s="423" t="str">
        <f>IF('Personnel Yr 1'!$K$5&gt;1,IF(OR(ISBLANK('Personnel Yr 1'!L45),'Personnel Yr 1'!L45=""),"",'Personnel Yr 1'!L45),"")</f>
        <v/>
      </c>
      <c r="M45" s="34" t="str">
        <f t="shared" si="8"/>
        <v/>
      </c>
      <c r="N45" s="37" t="str">
        <f>IF(M45="","",ROUND(M45*_xlfn.XLOOKUP("Full",Ben,Per),2))</f>
        <v/>
      </c>
      <c r="O45" s="40" t="str">
        <f t="shared" si="9"/>
        <v/>
      </c>
      <c r="P45" s="283"/>
    </row>
    <row r="46" spans="1:26" x14ac:dyDescent="0.2">
      <c r="B46" s="15" t="str">
        <f>IF('Personnel Yr 1'!$K$5&gt;3,IF(OR(ISBLANK('Personnel Yr 3'!B46),'Personnel Yr 3'!B46=""),"",'Personnel Yr 3'!B46),"")</f>
        <v/>
      </c>
      <c r="C46" s="499" t="s">
        <v>445</v>
      </c>
      <c r="D46" s="500"/>
      <c r="E46" s="500"/>
      <c r="F46" s="500"/>
      <c r="G46" s="500"/>
      <c r="H46" s="500"/>
      <c r="I46" s="501"/>
      <c r="J46" s="423" t="str">
        <f>IF('Personnel Yr 1'!$K$5&gt;1,IF(OR(ISBLANK('Personnel Yr 1'!J46),'Personnel Yr 1'!J46=""),"",'Personnel Yr 1'!J46),"")</f>
        <v/>
      </c>
      <c r="K46" s="423" t="str">
        <f>IF('Personnel Yr 1'!$K$5&gt;1,IF(OR(ISBLANK('Personnel Yr 1'!K46),'Personnel Yr 1'!K46=""),"",'Personnel Yr 1'!K46),"")</f>
        <v/>
      </c>
      <c r="L46" s="423" t="str">
        <f>IF('Personnel Yr 1'!$K$5&gt;1,IF(OR(ISBLANK('Personnel Yr 1'!L46),'Personnel Yr 1'!L46=""),"",'Personnel Yr 1'!L46),"")</f>
        <v/>
      </c>
      <c r="M46" s="34" t="str">
        <f t="shared" si="8"/>
        <v/>
      </c>
      <c r="N46" s="34" t="str">
        <f>IF(M46="","",ROUND(M46*_xlfn.XLOOKUP("Temp",Ben,Per),2))</f>
        <v/>
      </c>
      <c r="O46" s="41" t="str">
        <f t="shared" si="9"/>
        <v/>
      </c>
      <c r="P46" s="268"/>
    </row>
    <row r="47" spans="1:26" x14ac:dyDescent="0.2">
      <c r="B47" s="15" t="str">
        <f>IF('Personnel Yr 1'!$K$5&gt;3,IF(OR(ISBLANK('Personnel Yr 3'!B47),'Personnel Yr 3'!B47=""),"",'Personnel Yr 3'!B47),"")</f>
        <v/>
      </c>
      <c r="C47" s="566" t="s">
        <v>407</v>
      </c>
      <c r="D47" s="520"/>
      <c r="E47" s="520"/>
      <c r="F47" s="520"/>
      <c r="G47" s="520"/>
      <c r="H47" s="520"/>
      <c r="I47" s="520"/>
      <c r="J47" s="423"/>
      <c r="K47" s="423"/>
      <c r="L47" s="423"/>
      <c r="M47" s="34" t="str">
        <f t="shared" si="8"/>
        <v/>
      </c>
      <c r="N47" s="34" t="str">
        <f>IF(M47="","",ROUND(M47*_xlfn.XLOOKUP("Temp",Ben,Per),2))</f>
        <v/>
      </c>
      <c r="O47" s="41" t="str">
        <f t="shared" si="9"/>
        <v/>
      </c>
      <c r="P47" s="268"/>
    </row>
    <row r="48" spans="1:26" ht="13.5" thickBot="1" x14ac:dyDescent="0.25">
      <c r="B48" s="189" t="str">
        <f>IF('Personnel Yr 1'!$K$5&gt;3,IF(OR(ISBLANK('Personnel Yr 3'!B48),'Personnel Yr 3'!B48=""),"",'Personnel Yr 3'!B48),"")</f>
        <v/>
      </c>
      <c r="C48" s="567" t="s">
        <v>408</v>
      </c>
      <c r="D48" s="522"/>
      <c r="E48" s="522"/>
      <c r="F48" s="522"/>
      <c r="G48" s="522"/>
      <c r="H48" s="522"/>
      <c r="I48" s="522"/>
      <c r="J48" s="424"/>
      <c r="K48" s="424"/>
      <c r="L48" s="424"/>
      <c r="M48" s="42" t="str">
        <f t="shared" si="8"/>
        <v/>
      </c>
      <c r="N48" s="42" t="str">
        <f>IF(M48="","",ROUND(M48*_xlfn.XLOOKUP("Adjunct",Ben,Per),2))</f>
        <v/>
      </c>
      <c r="O48" s="285" t="str">
        <f t="shared" si="9"/>
        <v/>
      </c>
      <c r="P48" s="284"/>
    </row>
    <row r="49" spans="1:17" ht="13.5" thickBot="1" x14ac:dyDescent="0.25">
      <c r="B49" s="20">
        <f>SUM(B39:B46)</f>
        <v>0</v>
      </c>
      <c r="C49" s="563" t="s">
        <v>8</v>
      </c>
      <c r="D49" s="540"/>
      <c r="E49" s="540"/>
      <c r="F49" s="540"/>
      <c r="G49" s="18"/>
      <c r="H49" s="18"/>
      <c r="I49" s="18"/>
      <c r="J49" s="543" t="s">
        <v>9</v>
      </c>
      <c r="K49" s="564"/>
      <c r="L49" s="564"/>
      <c r="M49" s="564"/>
      <c r="N49" s="565"/>
      <c r="O49" s="45">
        <f>ROUND(SUM(O39:O48),2)</f>
        <v>0</v>
      </c>
    </row>
    <row r="50" spans="1:17" ht="13.5" thickBot="1" x14ac:dyDescent="0.25">
      <c r="I50" s="8"/>
      <c r="J50" s="513" t="s">
        <v>10</v>
      </c>
      <c r="K50" s="513"/>
      <c r="L50" s="513"/>
      <c r="M50" s="513"/>
      <c r="N50" s="514"/>
      <c r="O50" s="38">
        <f>ROUND(SUM(O16,O49),2)</f>
        <v>0</v>
      </c>
    </row>
    <row r="51" spans="1:17" x14ac:dyDescent="0.2">
      <c r="B51" s="516" t="s">
        <v>525</v>
      </c>
      <c r="C51" s="516"/>
      <c r="D51" s="545" t="s">
        <v>577</v>
      </c>
      <c r="E51" s="546"/>
      <c r="F51" s="546"/>
      <c r="G51" s="546"/>
      <c r="H51" s="546"/>
      <c r="I51" s="546"/>
      <c r="J51" s="546"/>
      <c r="K51" s="546"/>
      <c r="L51" s="546"/>
    </row>
    <row r="52" spans="1:17" ht="26.25" thickBot="1" x14ac:dyDescent="0.25">
      <c r="B52" s="2" t="s">
        <v>0</v>
      </c>
      <c r="C52" s="2" t="s">
        <v>1</v>
      </c>
      <c r="D52" s="2" t="s">
        <v>2</v>
      </c>
      <c r="E52" s="2" t="s">
        <v>3</v>
      </c>
      <c r="F52" s="2" t="s">
        <v>4</v>
      </c>
      <c r="G52" s="2" t="s">
        <v>39</v>
      </c>
      <c r="H52" s="2"/>
      <c r="I52" s="2"/>
      <c r="J52" s="3" t="s">
        <v>56</v>
      </c>
      <c r="K52" s="3" t="s">
        <v>57</v>
      </c>
      <c r="L52" s="2" t="s">
        <v>58</v>
      </c>
      <c r="M52" s="2" t="s">
        <v>41</v>
      </c>
      <c r="N52" s="2" t="s">
        <v>42</v>
      </c>
      <c r="O52" s="2" t="s">
        <v>38</v>
      </c>
      <c r="P52" s="493" t="s">
        <v>240</v>
      </c>
      <c r="Q52" s="493"/>
    </row>
    <row r="53" spans="1:17" x14ac:dyDescent="0.2">
      <c r="A53" s="4">
        <v>1</v>
      </c>
      <c r="B53" s="21" t="str">
        <f>IF('Personnel Yr 1'!$K$5&gt;3,IF(ISBLANK('Personnel Yr 3'!B53),"",'Personnel Yr 3'!B53),"")</f>
        <v/>
      </c>
      <c r="C53" s="13" t="str">
        <f>IF('Personnel Yr 1'!$K$5&gt;3,IF(ISBLANK('Personnel Yr 3'!C53),"",'Personnel Yr 3'!C53),"")</f>
        <v/>
      </c>
      <c r="D53" s="13" t="str">
        <f>IF('Personnel Yr 1'!$K$5&gt;3,IF(ISBLANK('Personnel Yr 3'!D53),"",'Personnel Yr 3'!D53),"")</f>
        <v/>
      </c>
      <c r="E53" s="13" t="str">
        <f>IF('Personnel Yr 1'!$K$5&gt;3,IF(ISBLANK('Personnel Yr 3'!E53),"",'Personnel Yr 3'!E53),"")</f>
        <v/>
      </c>
      <c r="F53" s="13" t="str">
        <f>IF('Personnel Yr 1'!$K$5&gt;3,IF(ISBLANK('Personnel Yr 3'!F53),"",'Personnel Yr 3'!F53),"")</f>
        <v/>
      </c>
      <c r="G53" s="507" t="str">
        <f>IF('Personnel Yr 1'!$K$5&gt;3,IF(ISBLANK('Personnel Yr 3'!G53),"",'Personnel Yr 3'!G53),"")</f>
        <v/>
      </c>
      <c r="H53" s="508"/>
      <c r="I53" s="509"/>
      <c r="J53" s="13" t="str">
        <f>IF('Personnel Yr 1'!$K$5&gt;3,IF(AND(OR(ISBLANK($I53),$I53=""),ISBLANK('Personnel Yr 3'!J53)),"",'Personnel Yr 3'!J53),"")</f>
        <v/>
      </c>
      <c r="K53" s="13" t="str">
        <f>IF('Personnel Yr 1'!$K$5&gt;3,IF(AND(OR(ISBLANK($I53),$I53=""),ISBLANK('Personnel Yr 3'!K53)),"",'Personnel Yr 3'!K53),"")</f>
        <v/>
      </c>
      <c r="L53" s="13" t="str">
        <f>IF('Personnel Yr 1'!$K$5&gt;3,IF(AND(OR(ISBLANK($I53),$I53=""),ISBLANK('Personnel Yr 3'!L53)),"",'Personnel Yr 3'!L53),"")</f>
        <v/>
      </c>
      <c r="M53" s="204" t="str">
        <f>IF('Personnel Yr 1'!$K$5&gt;3,IF(AND(NOT(ISBLANK('Personnel Yr 3'!M53)),'Personnel Yr 3'!M53&lt;&gt;""),(('Personnel Yr 3'!M53*'Personnel Yr 1'!$D$5)+'Personnel Yr 3'!M53),""),"")</f>
        <v/>
      </c>
      <c r="N53" s="35" t="str">
        <f t="shared" ref="N53:N72" si="10">IF(M53="","",ROUND(M53*IF(G53="Graduate Assistants", _xlfn.XLOOKUP($I$43,Grad,GradR),_xlfn.XLOOKUP("*"&amp;G53&amp;"*",BenB,Per,,2)),2))</f>
        <v/>
      </c>
      <c r="O53" s="36" t="str">
        <f>IF(M53="","",ROUND(SUM(M53:N53),2))</f>
        <v/>
      </c>
      <c r="P53" s="12"/>
    </row>
    <row r="54" spans="1:17" x14ac:dyDescent="0.2">
      <c r="A54" s="4">
        <v>2</v>
      </c>
      <c r="B54" s="5" t="str">
        <f>IF('Personnel Yr 1'!$K$5&gt;3,IF(ISBLANK('Personnel Yr 3'!B54),"",'Personnel Yr 3'!B54),"")</f>
        <v/>
      </c>
      <c r="C54" s="17" t="str">
        <f>IF('Personnel Yr 1'!$K$5&gt;3,IF(ISBLANK('Personnel Yr 3'!C54),"",'Personnel Yr 3'!C54),"")</f>
        <v/>
      </c>
      <c r="D54" s="17" t="str">
        <f>IF('Personnel Yr 1'!$K$5&gt;3,IF(ISBLANK('Personnel Yr 3'!D54),"",'Personnel Yr 3'!D54),"")</f>
        <v/>
      </c>
      <c r="E54" s="17" t="str">
        <f>IF('Personnel Yr 1'!$K$5&gt;3,IF(ISBLANK('Personnel Yr 3'!E54),"",'Personnel Yr 3'!E54),"")</f>
        <v/>
      </c>
      <c r="F54" s="17" t="str">
        <f>IF('Personnel Yr 1'!$K$5&gt;3,IF(ISBLANK('Personnel Yr 3'!F54),"",'Personnel Yr 3'!F54),"")</f>
        <v/>
      </c>
      <c r="G54" s="483" t="str">
        <f>IF('Personnel Yr 1'!$K$5&gt;3,IF(ISBLANK('Personnel Yr 3'!G54),"",'Personnel Yr 3'!G54),"")</f>
        <v/>
      </c>
      <c r="H54" s="484"/>
      <c r="I54" s="485"/>
      <c r="J54" s="17" t="str">
        <f>IF('Personnel Yr 1'!$K$5&gt;3,IF(AND(OR(ISBLANK($I54),$I54=""),ISBLANK('Personnel Yr 3'!J54)),"",'Personnel Yr 3'!J54),"")</f>
        <v/>
      </c>
      <c r="K54" s="17" t="str">
        <f>IF('Personnel Yr 1'!$K$5&gt;3,IF(AND(OR(ISBLANK($I54),$I54=""),ISBLANK('Personnel Yr 3'!K54)),"",'Personnel Yr 3'!K54),"")</f>
        <v/>
      </c>
      <c r="L54" s="17" t="str">
        <f>IF('Personnel Yr 1'!$K$5&gt;3,IF(AND(OR(ISBLANK($I54),$I54=""),ISBLANK('Personnel Yr 3'!L54)),"",'Personnel Yr 3'!L54),"")</f>
        <v/>
      </c>
      <c r="M54" s="32" t="str">
        <f>IF('Personnel Yr 1'!$K$5&gt;3,IF(AND(NOT(ISBLANK('Personnel Yr 3'!M54)),'Personnel Yr 3'!M54&lt;&gt;""),(('Personnel Yr 3'!M54*'Personnel Yr 1'!$D$5)+'Personnel Yr 3'!M54),""),"")</f>
        <v/>
      </c>
      <c r="N54" s="34" t="str">
        <f t="shared" si="10"/>
        <v/>
      </c>
      <c r="O54" s="40" t="str">
        <f t="shared" ref="O54:O72" si="11">IF(M54="","",ROUND(SUM(M54:N54),2))</f>
        <v/>
      </c>
      <c r="P54" s="15"/>
    </row>
    <row r="55" spans="1:17" x14ac:dyDescent="0.2">
      <c r="A55" s="4">
        <v>3</v>
      </c>
      <c r="B55" s="5" t="str">
        <f>IF('Personnel Yr 1'!$K$5&gt;3,IF(ISBLANK('Personnel Yr 3'!B55),"",'Personnel Yr 3'!B55),"")</f>
        <v/>
      </c>
      <c r="C55" s="17" t="str">
        <f>IF('Personnel Yr 1'!$K$5&gt;3,IF(ISBLANK('Personnel Yr 3'!C55),"",'Personnel Yr 3'!C55),"")</f>
        <v/>
      </c>
      <c r="D55" s="17" t="str">
        <f>IF('Personnel Yr 1'!$K$5&gt;3,IF(ISBLANK('Personnel Yr 3'!D55),"",'Personnel Yr 3'!D55),"")</f>
        <v/>
      </c>
      <c r="E55" s="17" t="str">
        <f>IF('Personnel Yr 1'!$K$5&gt;3,IF(ISBLANK('Personnel Yr 3'!E55),"",'Personnel Yr 3'!E55),"")</f>
        <v/>
      </c>
      <c r="F55" s="17" t="str">
        <f>IF('Personnel Yr 1'!$K$5&gt;3,IF(ISBLANK('Personnel Yr 3'!F55),"",'Personnel Yr 3'!F55),"")</f>
        <v/>
      </c>
      <c r="G55" s="483" t="str">
        <f>IF('Personnel Yr 1'!$K$5&gt;3,IF(ISBLANK('Personnel Yr 3'!G55),"",'Personnel Yr 3'!G55),"")</f>
        <v/>
      </c>
      <c r="H55" s="484"/>
      <c r="I55" s="485"/>
      <c r="J55" s="17" t="str">
        <f>IF('Personnel Yr 1'!$K$5&gt;3,IF(AND(OR(ISBLANK($I55),$I55=""),ISBLANK('Personnel Yr 3'!J55)),"",'Personnel Yr 3'!J55),"")</f>
        <v/>
      </c>
      <c r="K55" s="17" t="str">
        <f>IF('Personnel Yr 1'!$K$5&gt;3,IF(AND(OR(ISBLANK($I55),$I55=""),ISBLANK('Personnel Yr 3'!K55)),"",'Personnel Yr 3'!K55),"")</f>
        <v/>
      </c>
      <c r="L55" s="17" t="str">
        <f>IF('Personnel Yr 1'!$K$5&gt;3,IF(AND(OR(ISBLANK($I55),$I55=""),ISBLANK('Personnel Yr 3'!L55)),"",'Personnel Yr 3'!L55),"")</f>
        <v/>
      </c>
      <c r="M55" s="32" t="str">
        <f>IF('Personnel Yr 1'!$K$5&gt;3,IF(AND(NOT(ISBLANK('Personnel Yr 3'!M55)),'Personnel Yr 3'!M55&lt;&gt;""),(('Personnel Yr 3'!M55*'Personnel Yr 1'!$D$5)+'Personnel Yr 3'!M55),""),"")</f>
        <v/>
      </c>
      <c r="N55" s="34" t="str">
        <f t="shared" si="10"/>
        <v/>
      </c>
      <c r="O55" s="40" t="str">
        <f t="shared" si="11"/>
        <v/>
      </c>
      <c r="P55" s="15"/>
    </row>
    <row r="56" spans="1:17" x14ac:dyDescent="0.2">
      <c r="A56" s="4">
        <v>4</v>
      </c>
      <c r="B56" s="5" t="str">
        <f>IF('Personnel Yr 1'!$K$5&gt;3,IF(ISBLANK('Personnel Yr 3'!B56),"",'Personnel Yr 3'!B56),"")</f>
        <v/>
      </c>
      <c r="C56" s="17" t="str">
        <f>IF('Personnel Yr 1'!$K$5&gt;3,IF(ISBLANK('Personnel Yr 3'!C56),"",'Personnel Yr 3'!C56),"")</f>
        <v/>
      </c>
      <c r="D56" s="17" t="str">
        <f>IF('Personnel Yr 1'!$K$5&gt;3,IF(ISBLANK('Personnel Yr 3'!D56),"",'Personnel Yr 3'!D56),"")</f>
        <v/>
      </c>
      <c r="E56" s="17" t="str">
        <f>IF('Personnel Yr 1'!$K$5&gt;3,IF(ISBLANK('Personnel Yr 3'!E56),"",'Personnel Yr 3'!E56),"")</f>
        <v/>
      </c>
      <c r="F56" s="17" t="str">
        <f>IF('Personnel Yr 1'!$K$5&gt;3,IF(ISBLANK('Personnel Yr 3'!F56),"",'Personnel Yr 3'!F56),"")</f>
        <v/>
      </c>
      <c r="G56" s="483" t="str">
        <f>IF('Personnel Yr 1'!$K$5&gt;3,IF(ISBLANK('Personnel Yr 3'!G56),"",'Personnel Yr 3'!G56),"")</f>
        <v/>
      </c>
      <c r="H56" s="484"/>
      <c r="I56" s="485"/>
      <c r="J56" s="17" t="str">
        <f>IF('Personnel Yr 1'!$K$5&gt;3,IF(AND(OR(ISBLANK($I56),$I56=""),ISBLANK('Personnel Yr 3'!J56)),"",'Personnel Yr 3'!J56),"")</f>
        <v/>
      </c>
      <c r="K56" s="17" t="str">
        <f>IF('Personnel Yr 1'!$K$5&gt;3,IF(AND(OR(ISBLANK($I56),$I56=""),ISBLANK('Personnel Yr 3'!K56)),"",'Personnel Yr 3'!K56),"")</f>
        <v/>
      </c>
      <c r="L56" s="17" t="str">
        <f>IF('Personnel Yr 1'!$K$5&gt;3,IF(AND(OR(ISBLANK($I56),$I56=""),ISBLANK('Personnel Yr 3'!L56)),"",'Personnel Yr 3'!L56),"")</f>
        <v/>
      </c>
      <c r="M56" s="32" t="str">
        <f>IF('Personnel Yr 1'!$K$5&gt;3,IF(AND(NOT(ISBLANK('Personnel Yr 3'!M56)),'Personnel Yr 3'!M56&lt;&gt;""),(('Personnel Yr 3'!M56*'Personnel Yr 1'!$D$5)+'Personnel Yr 3'!M56),""),"")</f>
        <v/>
      </c>
      <c r="N56" s="34" t="str">
        <f t="shared" si="10"/>
        <v/>
      </c>
      <c r="O56" s="40" t="str">
        <f t="shared" si="11"/>
        <v/>
      </c>
      <c r="P56" s="15"/>
    </row>
    <row r="57" spans="1:17" x14ac:dyDescent="0.2">
      <c r="A57" s="4">
        <v>5</v>
      </c>
      <c r="B57" s="5" t="str">
        <f>IF('Personnel Yr 1'!$K$5&gt;3,IF(ISBLANK('Personnel Yr 3'!B57),"",'Personnel Yr 3'!B57),"")</f>
        <v/>
      </c>
      <c r="C57" s="17" t="str">
        <f>IF('Personnel Yr 1'!$K$5&gt;3,IF(ISBLANK('Personnel Yr 3'!C57),"",'Personnel Yr 3'!C57),"")</f>
        <v/>
      </c>
      <c r="D57" s="17" t="str">
        <f>IF('Personnel Yr 1'!$K$5&gt;3,IF(ISBLANK('Personnel Yr 3'!D57),"",'Personnel Yr 3'!D57),"")</f>
        <v/>
      </c>
      <c r="E57" s="17" t="str">
        <f>IF('Personnel Yr 1'!$K$5&gt;3,IF(ISBLANK('Personnel Yr 3'!E57),"",'Personnel Yr 3'!E57),"")</f>
        <v/>
      </c>
      <c r="F57" s="17" t="str">
        <f>IF('Personnel Yr 1'!$K$5&gt;3,IF(ISBLANK('Personnel Yr 3'!F57),"",'Personnel Yr 3'!F57),"")</f>
        <v/>
      </c>
      <c r="G57" s="483" t="str">
        <f>IF('Personnel Yr 1'!$K$5&gt;3,IF(ISBLANK('Personnel Yr 3'!G57),"",'Personnel Yr 3'!G57),"")</f>
        <v/>
      </c>
      <c r="H57" s="484"/>
      <c r="I57" s="485"/>
      <c r="J57" s="17" t="str">
        <f>IF('Personnel Yr 1'!$K$5&gt;3,IF(AND(OR(ISBLANK($I57),$I57=""),ISBLANK('Personnel Yr 3'!J57)),"",'Personnel Yr 3'!J57),"")</f>
        <v/>
      </c>
      <c r="K57" s="17" t="str">
        <f>IF('Personnel Yr 1'!$K$5&gt;3,IF(AND(OR(ISBLANK($I57),$I57=""),ISBLANK('Personnel Yr 3'!K57)),"",'Personnel Yr 3'!K57),"")</f>
        <v/>
      </c>
      <c r="L57" s="17" t="str">
        <f>IF('Personnel Yr 1'!$K$5&gt;3,IF(AND(OR(ISBLANK($I57),$I57=""),ISBLANK('Personnel Yr 3'!L57)),"",'Personnel Yr 3'!L57),"")</f>
        <v/>
      </c>
      <c r="M57" s="32" t="str">
        <f>IF('Personnel Yr 1'!$K$5&gt;3,IF(AND(NOT(ISBLANK('Personnel Yr 3'!M57)),'Personnel Yr 3'!M57&lt;&gt;""),(('Personnel Yr 3'!M57*'Personnel Yr 1'!$D$5)+'Personnel Yr 3'!M57),""),"")</f>
        <v/>
      </c>
      <c r="N57" s="34" t="str">
        <f t="shared" si="10"/>
        <v/>
      </c>
      <c r="O57" s="40" t="str">
        <f t="shared" si="11"/>
        <v/>
      </c>
      <c r="P57" s="15"/>
    </row>
    <row r="58" spans="1:17" x14ac:dyDescent="0.2">
      <c r="A58" s="4">
        <v>6</v>
      </c>
      <c r="B58" s="5" t="str">
        <f>IF('Personnel Yr 1'!$K$5&gt;3,IF(ISBLANK('Personnel Yr 3'!B58),"",'Personnel Yr 3'!B58),"")</f>
        <v/>
      </c>
      <c r="C58" s="17" t="str">
        <f>IF('Personnel Yr 1'!$K$5&gt;3,IF(ISBLANK('Personnel Yr 3'!C58),"",'Personnel Yr 3'!C58),"")</f>
        <v/>
      </c>
      <c r="D58" s="17" t="str">
        <f>IF('Personnel Yr 1'!$K$5&gt;3,IF(ISBLANK('Personnel Yr 3'!D58),"",'Personnel Yr 3'!D58),"")</f>
        <v/>
      </c>
      <c r="E58" s="17" t="str">
        <f>IF('Personnel Yr 1'!$K$5&gt;3,IF(ISBLANK('Personnel Yr 3'!E58),"",'Personnel Yr 3'!E58),"")</f>
        <v/>
      </c>
      <c r="F58" s="17" t="str">
        <f>IF('Personnel Yr 1'!$K$5&gt;3,IF(ISBLANK('Personnel Yr 3'!F58),"",'Personnel Yr 3'!F58),"")</f>
        <v/>
      </c>
      <c r="G58" s="483" t="str">
        <f>IF('Personnel Yr 1'!$K$5&gt;3,IF(ISBLANK('Personnel Yr 3'!G58),"",'Personnel Yr 3'!G58),"")</f>
        <v/>
      </c>
      <c r="H58" s="484"/>
      <c r="I58" s="485"/>
      <c r="J58" s="17" t="str">
        <f>IF('Personnel Yr 1'!$K$5&gt;3,IF(AND(OR(ISBLANK($I58),$I58=""),ISBLANK('Personnel Yr 3'!J58)),"",'Personnel Yr 3'!J58),"")</f>
        <v/>
      </c>
      <c r="K58" s="17" t="str">
        <f>IF('Personnel Yr 1'!$K$5&gt;3,IF(AND(OR(ISBLANK($I58),$I58=""),ISBLANK('Personnel Yr 3'!K58)),"",'Personnel Yr 3'!K58),"")</f>
        <v/>
      </c>
      <c r="L58" s="17" t="str">
        <f>IF('Personnel Yr 1'!$K$5&gt;3,IF(AND(OR(ISBLANK($I58),$I58=""),ISBLANK('Personnel Yr 3'!L58)),"",'Personnel Yr 3'!L58),"")</f>
        <v/>
      </c>
      <c r="M58" s="32" t="str">
        <f>IF('Personnel Yr 1'!$K$5&gt;3,IF(AND(NOT(ISBLANK('Personnel Yr 3'!M58)),'Personnel Yr 3'!M58&lt;&gt;""),(('Personnel Yr 3'!M58*'Personnel Yr 1'!$D$5)+'Personnel Yr 3'!M58),""),"")</f>
        <v/>
      </c>
      <c r="N58" s="34" t="str">
        <f t="shared" si="10"/>
        <v/>
      </c>
      <c r="O58" s="40" t="str">
        <f t="shared" si="11"/>
        <v/>
      </c>
      <c r="P58" s="15"/>
    </row>
    <row r="59" spans="1:17" x14ac:dyDescent="0.2">
      <c r="A59" s="4">
        <v>7</v>
      </c>
      <c r="B59" s="5" t="str">
        <f>IF('Personnel Yr 1'!$K$5&gt;3,IF(ISBLANK('Personnel Yr 3'!B59),"",'Personnel Yr 3'!B59),"")</f>
        <v/>
      </c>
      <c r="C59" s="17" t="str">
        <f>IF('Personnel Yr 1'!$K$5&gt;3,IF(ISBLANK('Personnel Yr 3'!C59),"",'Personnel Yr 3'!C59),"")</f>
        <v/>
      </c>
      <c r="D59" s="17" t="str">
        <f>IF('Personnel Yr 1'!$K$5&gt;3,IF(ISBLANK('Personnel Yr 3'!D59),"",'Personnel Yr 3'!D59),"")</f>
        <v/>
      </c>
      <c r="E59" s="17" t="str">
        <f>IF('Personnel Yr 1'!$K$5&gt;3,IF(ISBLANK('Personnel Yr 3'!E59),"",'Personnel Yr 3'!E59),"")</f>
        <v/>
      </c>
      <c r="F59" s="17" t="str">
        <f>IF('Personnel Yr 1'!$K$5&gt;3,IF(ISBLANK('Personnel Yr 3'!F59),"",'Personnel Yr 3'!F59),"")</f>
        <v/>
      </c>
      <c r="G59" s="483" t="str">
        <f>IF('Personnel Yr 1'!$K$5&gt;3,IF(ISBLANK('Personnel Yr 3'!G59),"",'Personnel Yr 3'!G59),"")</f>
        <v/>
      </c>
      <c r="H59" s="484"/>
      <c r="I59" s="485"/>
      <c r="J59" s="17" t="str">
        <f>IF('Personnel Yr 1'!$K$5&gt;3,IF(AND(OR(ISBLANK($I59),$I59=""),ISBLANK('Personnel Yr 3'!J59)),"",'Personnel Yr 3'!J59),"")</f>
        <v/>
      </c>
      <c r="K59" s="17" t="str">
        <f>IF('Personnel Yr 1'!$K$5&gt;3,IF(AND(OR(ISBLANK($I59),$I59=""),ISBLANK('Personnel Yr 3'!K59)),"",'Personnel Yr 3'!K59),"")</f>
        <v/>
      </c>
      <c r="L59" s="17" t="str">
        <f>IF('Personnel Yr 1'!$K$5&gt;3,IF(AND(OR(ISBLANK($I59),$I59=""),ISBLANK('Personnel Yr 3'!L59)),"",'Personnel Yr 3'!L59),"")</f>
        <v/>
      </c>
      <c r="M59" s="32" t="str">
        <f>IF('Personnel Yr 1'!$K$5&gt;3,IF(AND(NOT(ISBLANK('Personnel Yr 3'!M59)),'Personnel Yr 3'!M59&lt;&gt;""),(('Personnel Yr 3'!M59*'Personnel Yr 1'!$D$5)+'Personnel Yr 3'!M59),""),"")</f>
        <v/>
      </c>
      <c r="N59" s="34" t="str">
        <f t="shared" si="10"/>
        <v/>
      </c>
      <c r="O59" s="40" t="str">
        <f t="shared" si="11"/>
        <v/>
      </c>
      <c r="P59" s="15"/>
    </row>
    <row r="60" spans="1:17" x14ac:dyDescent="0.2">
      <c r="A60" s="4">
        <v>8</v>
      </c>
      <c r="B60" s="5" t="str">
        <f>IF('Personnel Yr 1'!$K$5&gt;3,IF(ISBLANK('Personnel Yr 3'!B60),"",'Personnel Yr 3'!B60),"")</f>
        <v/>
      </c>
      <c r="C60" s="17" t="str">
        <f>IF('Personnel Yr 1'!$K$5&gt;3,IF(ISBLANK('Personnel Yr 3'!C60),"",'Personnel Yr 3'!C60),"")</f>
        <v/>
      </c>
      <c r="D60" s="17" t="str">
        <f>IF('Personnel Yr 1'!$K$5&gt;3,IF(ISBLANK('Personnel Yr 3'!D60),"",'Personnel Yr 3'!D60),"")</f>
        <v/>
      </c>
      <c r="E60" s="17" t="str">
        <f>IF('Personnel Yr 1'!$K$5&gt;3,IF(ISBLANK('Personnel Yr 3'!E60),"",'Personnel Yr 3'!E60),"")</f>
        <v/>
      </c>
      <c r="F60" s="17" t="str">
        <f>IF('Personnel Yr 1'!$K$5&gt;3,IF(ISBLANK('Personnel Yr 3'!F60),"",'Personnel Yr 3'!F60),"")</f>
        <v/>
      </c>
      <c r="G60" s="483" t="str">
        <f>IF('Personnel Yr 1'!$K$5&gt;3,IF(ISBLANK('Personnel Yr 3'!G60),"",'Personnel Yr 3'!G60),"")</f>
        <v/>
      </c>
      <c r="H60" s="484"/>
      <c r="I60" s="485"/>
      <c r="J60" s="17" t="str">
        <f>IF('Personnel Yr 1'!$K$5&gt;3,IF(AND(OR(ISBLANK($I60),$I60=""),ISBLANK('Personnel Yr 3'!J60)),"",'Personnel Yr 3'!J60),"")</f>
        <v/>
      </c>
      <c r="K60" s="17" t="str">
        <f>IF('Personnel Yr 1'!$K$5&gt;3,IF(AND(OR(ISBLANK($I60),$I60=""),ISBLANK('Personnel Yr 3'!K60)),"",'Personnel Yr 3'!K60),"")</f>
        <v/>
      </c>
      <c r="L60" s="17" t="str">
        <f>IF('Personnel Yr 1'!$K$5&gt;3,IF(AND(OR(ISBLANK($I60),$I60=""),ISBLANK('Personnel Yr 3'!L60)),"",'Personnel Yr 3'!L60),"")</f>
        <v/>
      </c>
      <c r="M60" s="32" t="str">
        <f>IF('Personnel Yr 1'!$K$5&gt;3,IF(AND(NOT(ISBLANK('Personnel Yr 3'!M60)),'Personnel Yr 3'!M60&lt;&gt;""),(('Personnel Yr 3'!M60*'Personnel Yr 1'!$D$5)+'Personnel Yr 3'!M60),""),"")</f>
        <v/>
      </c>
      <c r="N60" s="34" t="str">
        <f t="shared" si="10"/>
        <v/>
      </c>
      <c r="O60" s="40" t="str">
        <f t="shared" si="11"/>
        <v/>
      </c>
      <c r="P60" s="15"/>
    </row>
    <row r="61" spans="1:17" x14ac:dyDescent="0.2">
      <c r="A61" s="4">
        <v>9</v>
      </c>
      <c r="B61" s="5" t="str">
        <f>IF('Personnel Yr 1'!$K$5&gt;3,IF(ISBLANK('Personnel Yr 3'!B61),"",'Personnel Yr 3'!B61),"")</f>
        <v/>
      </c>
      <c r="C61" s="17" t="str">
        <f>IF('Personnel Yr 1'!$K$5&gt;3,IF(ISBLANK('Personnel Yr 3'!C61),"",'Personnel Yr 3'!C61),"")</f>
        <v/>
      </c>
      <c r="D61" s="17" t="str">
        <f>IF('Personnel Yr 1'!$K$5&gt;3,IF(ISBLANK('Personnel Yr 3'!D61),"",'Personnel Yr 3'!D61),"")</f>
        <v/>
      </c>
      <c r="E61" s="17" t="str">
        <f>IF('Personnel Yr 1'!$K$5&gt;3,IF(ISBLANK('Personnel Yr 3'!E61),"",'Personnel Yr 3'!E61),"")</f>
        <v/>
      </c>
      <c r="F61" s="17" t="str">
        <f>IF('Personnel Yr 1'!$K$5&gt;3,IF(ISBLANK('Personnel Yr 3'!F61),"",'Personnel Yr 3'!F61),"")</f>
        <v/>
      </c>
      <c r="G61" s="483" t="str">
        <f>IF('Personnel Yr 1'!$K$5&gt;3,IF(ISBLANK('Personnel Yr 3'!G61),"",'Personnel Yr 3'!G61),"")</f>
        <v/>
      </c>
      <c r="H61" s="484"/>
      <c r="I61" s="485"/>
      <c r="J61" s="17" t="str">
        <f>IF('Personnel Yr 1'!$K$5&gt;3,IF(AND(OR(ISBLANK($I61),$I61=""),ISBLANK('Personnel Yr 3'!J61)),"",'Personnel Yr 3'!J61),"")</f>
        <v/>
      </c>
      <c r="K61" s="17" t="str">
        <f>IF('Personnel Yr 1'!$K$5&gt;3,IF(AND(OR(ISBLANK($I61),$I61=""),ISBLANK('Personnel Yr 3'!K61)),"",'Personnel Yr 3'!K61),"")</f>
        <v/>
      </c>
      <c r="L61" s="17" t="str">
        <f>IF('Personnel Yr 1'!$K$5&gt;3,IF(AND(OR(ISBLANK($I61),$I61=""),ISBLANK('Personnel Yr 3'!L61)),"",'Personnel Yr 3'!L61),"")</f>
        <v/>
      </c>
      <c r="M61" s="32" t="str">
        <f>IF('Personnel Yr 1'!$K$5&gt;3,IF(AND(NOT(ISBLANK('Personnel Yr 3'!M61)),'Personnel Yr 3'!M61&lt;&gt;""),(('Personnel Yr 3'!M61*'Personnel Yr 1'!$D$5)+'Personnel Yr 3'!M61),""),"")</f>
        <v/>
      </c>
      <c r="N61" s="34" t="str">
        <f t="shared" si="10"/>
        <v/>
      </c>
      <c r="O61" s="40" t="str">
        <f t="shared" si="11"/>
        <v/>
      </c>
      <c r="P61" s="15"/>
    </row>
    <row r="62" spans="1:17" x14ac:dyDescent="0.2">
      <c r="A62" s="4">
        <v>10</v>
      </c>
      <c r="B62" s="5" t="str">
        <f>IF('Personnel Yr 1'!$K$5&gt;3,IF(ISBLANK('Personnel Yr 3'!B62),"",'Personnel Yr 3'!B62),"")</f>
        <v/>
      </c>
      <c r="C62" s="17" t="str">
        <f>IF('Personnel Yr 1'!$K$5&gt;3,IF(ISBLANK('Personnel Yr 3'!C62),"",'Personnel Yr 3'!C62),"")</f>
        <v/>
      </c>
      <c r="D62" s="17" t="str">
        <f>IF('Personnel Yr 1'!$K$5&gt;3,IF(ISBLANK('Personnel Yr 3'!D62),"",'Personnel Yr 3'!D62),"")</f>
        <v/>
      </c>
      <c r="E62" s="17" t="str">
        <f>IF('Personnel Yr 1'!$K$5&gt;3,IF(ISBLANK('Personnel Yr 3'!E62),"",'Personnel Yr 3'!E62),"")</f>
        <v/>
      </c>
      <c r="F62" s="17" t="str">
        <f>IF('Personnel Yr 1'!$K$5&gt;3,IF(ISBLANK('Personnel Yr 3'!F62),"",'Personnel Yr 3'!F62),"")</f>
        <v/>
      </c>
      <c r="G62" s="483" t="str">
        <f>IF('Personnel Yr 1'!$K$5&gt;3,IF(ISBLANK('Personnel Yr 3'!G62),"",'Personnel Yr 3'!G62),"")</f>
        <v/>
      </c>
      <c r="H62" s="484"/>
      <c r="I62" s="485"/>
      <c r="J62" s="17" t="str">
        <f>IF('Personnel Yr 1'!$K$5&gt;3,IF(AND(OR(ISBLANK($I62),$I62=""),ISBLANK('Personnel Yr 3'!J62)),"",'Personnel Yr 3'!J62),"")</f>
        <v/>
      </c>
      <c r="K62" s="17" t="str">
        <f>IF('Personnel Yr 1'!$K$5&gt;3,IF(AND(OR(ISBLANK($I62),$I62=""),ISBLANK('Personnel Yr 3'!K62)),"",'Personnel Yr 3'!K62),"")</f>
        <v/>
      </c>
      <c r="L62" s="17" t="str">
        <f>IF('Personnel Yr 1'!$K$5&gt;3,IF(AND(OR(ISBLANK($I62),$I62=""),ISBLANK('Personnel Yr 3'!L62)),"",'Personnel Yr 3'!L62),"")</f>
        <v/>
      </c>
      <c r="M62" s="32" t="str">
        <f>IF('Personnel Yr 1'!$K$5&gt;3,IF(AND(NOT(ISBLANK('Personnel Yr 3'!M62)),'Personnel Yr 3'!M62&lt;&gt;""),(('Personnel Yr 3'!M62*'Personnel Yr 1'!$D$5)+'Personnel Yr 3'!M62),""),"")</f>
        <v/>
      </c>
      <c r="N62" s="34" t="str">
        <f t="shared" si="10"/>
        <v/>
      </c>
      <c r="O62" s="40" t="str">
        <f t="shared" si="11"/>
        <v/>
      </c>
      <c r="P62" s="15"/>
    </row>
    <row r="63" spans="1:17" x14ac:dyDescent="0.2">
      <c r="A63" s="4">
        <v>11</v>
      </c>
      <c r="B63" s="5" t="str">
        <f>IF('Personnel Yr 1'!$K$5&gt;3,IF(ISBLANK('Personnel Yr 3'!B63),"",'Personnel Yr 3'!B63),"")</f>
        <v/>
      </c>
      <c r="C63" s="17" t="str">
        <f>IF('Personnel Yr 1'!$K$5&gt;3,IF(ISBLANK('Personnel Yr 3'!C63),"",'Personnel Yr 3'!C63),"")</f>
        <v/>
      </c>
      <c r="D63" s="17" t="str">
        <f>IF('Personnel Yr 1'!$K$5&gt;3,IF(ISBLANK('Personnel Yr 3'!D63),"",'Personnel Yr 3'!D63),"")</f>
        <v/>
      </c>
      <c r="E63" s="17" t="str">
        <f>IF('Personnel Yr 1'!$K$5&gt;3,IF(ISBLANK('Personnel Yr 3'!E63),"",'Personnel Yr 3'!E63),"")</f>
        <v/>
      </c>
      <c r="F63" s="17" t="str">
        <f>IF('Personnel Yr 1'!$K$5&gt;3,IF(ISBLANK('Personnel Yr 3'!F63),"",'Personnel Yr 3'!F63),"")</f>
        <v/>
      </c>
      <c r="G63" s="483" t="str">
        <f>IF('Personnel Yr 1'!$K$5&gt;3,IF(ISBLANK('Personnel Yr 3'!G63),"",'Personnel Yr 3'!G63),"")</f>
        <v/>
      </c>
      <c r="H63" s="484"/>
      <c r="I63" s="485"/>
      <c r="J63" s="17" t="str">
        <f>IF('Personnel Yr 1'!$K$5&gt;3,IF(AND(OR(ISBLANK($I63),$I63=""),ISBLANK('Personnel Yr 3'!J63)),"",'Personnel Yr 3'!J63),"")</f>
        <v/>
      </c>
      <c r="K63" s="17" t="str">
        <f>IF('Personnel Yr 1'!$K$5&gt;3,IF(AND(OR(ISBLANK($I63),$I63=""),ISBLANK('Personnel Yr 3'!K63)),"",'Personnel Yr 3'!K63),"")</f>
        <v/>
      </c>
      <c r="L63" s="17" t="str">
        <f>IF('Personnel Yr 1'!$K$5&gt;3,IF(AND(OR(ISBLANK($I63),$I63=""),ISBLANK('Personnel Yr 3'!L63)),"",'Personnel Yr 3'!L63),"")</f>
        <v/>
      </c>
      <c r="M63" s="32" t="str">
        <f>IF('Personnel Yr 1'!$K$5&gt;3,IF(AND(NOT(ISBLANK('Personnel Yr 3'!M63)),'Personnel Yr 3'!M63&lt;&gt;""),(('Personnel Yr 3'!M63*'Personnel Yr 1'!$D$5)+'Personnel Yr 3'!M63),""),"")</f>
        <v/>
      </c>
      <c r="N63" s="34" t="str">
        <f t="shared" si="10"/>
        <v/>
      </c>
      <c r="O63" s="40" t="str">
        <f t="shared" si="11"/>
        <v/>
      </c>
      <c r="P63" s="15"/>
    </row>
    <row r="64" spans="1:17" x14ac:dyDescent="0.2">
      <c r="A64" s="4">
        <v>12</v>
      </c>
      <c r="B64" s="5" t="str">
        <f>IF('Personnel Yr 1'!$K$5&gt;3,IF(ISBLANK('Personnel Yr 3'!B64),"",'Personnel Yr 3'!B64),"")</f>
        <v/>
      </c>
      <c r="C64" s="17" t="str">
        <f>IF('Personnel Yr 1'!$K$5&gt;3,IF(ISBLANK('Personnel Yr 3'!C64),"",'Personnel Yr 3'!C64),"")</f>
        <v/>
      </c>
      <c r="D64" s="17" t="str">
        <f>IF('Personnel Yr 1'!$K$5&gt;3,IF(ISBLANK('Personnel Yr 3'!D64),"",'Personnel Yr 3'!D64),"")</f>
        <v/>
      </c>
      <c r="E64" s="17" t="str">
        <f>IF('Personnel Yr 1'!$K$5&gt;3,IF(ISBLANK('Personnel Yr 3'!E64),"",'Personnel Yr 3'!E64),"")</f>
        <v/>
      </c>
      <c r="F64" s="17" t="str">
        <f>IF('Personnel Yr 1'!$K$5&gt;3,IF(ISBLANK('Personnel Yr 3'!F64),"",'Personnel Yr 3'!F64),"")</f>
        <v/>
      </c>
      <c r="G64" s="483" t="str">
        <f>IF('Personnel Yr 1'!$K$5&gt;3,IF(ISBLANK('Personnel Yr 3'!G64),"",'Personnel Yr 3'!G64),"")</f>
        <v/>
      </c>
      <c r="H64" s="484"/>
      <c r="I64" s="485"/>
      <c r="J64" s="17" t="str">
        <f>IF('Personnel Yr 1'!$K$5&gt;3,IF(AND(OR(ISBLANK($I64),$I64=""),ISBLANK('Personnel Yr 3'!J64)),"",'Personnel Yr 3'!J64),"")</f>
        <v/>
      </c>
      <c r="K64" s="17" t="str">
        <f>IF('Personnel Yr 1'!$K$5&gt;3,IF(AND(OR(ISBLANK($I64),$I64=""),ISBLANK('Personnel Yr 3'!K64)),"",'Personnel Yr 3'!K64),"")</f>
        <v/>
      </c>
      <c r="L64" s="17" t="str">
        <f>IF('Personnel Yr 1'!$K$5&gt;3,IF(AND(OR(ISBLANK($I64),$I64=""),ISBLANK('Personnel Yr 3'!L64)),"",'Personnel Yr 3'!L64),"")</f>
        <v/>
      </c>
      <c r="M64" s="32" t="str">
        <f>IF('Personnel Yr 1'!$K$5&gt;3,IF(AND(NOT(ISBLANK('Personnel Yr 3'!M64)),'Personnel Yr 3'!M64&lt;&gt;""),(('Personnel Yr 3'!M64*'Personnel Yr 1'!$D$5)+'Personnel Yr 3'!M64),""),"")</f>
        <v/>
      </c>
      <c r="N64" s="34" t="str">
        <f t="shared" si="10"/>
        <v/>
      </c>
      <c r="O64" s="40" t="str">
        <f t="shared" si="11"/>
        <v/>
      </c>
      <c r="P64" s="15"/>
    </row>
    <row r="65" spans="1:16" x14ac:dyDescent="0.2">
      <c r="A65" s="4">
        <v>13</v>
      </c>
      <c r="B65" s="5" t="str">
        <f>IF('Personnel Yr 1'!$K$5&gt;3,IF(ISBLANK('Personnel Yr 3'!B65),"",'Personnel Yr 3'!B65),"")</f>
        <v/>
      </c>
      <c r="C65" s="17" t="str">
        <f>IF('Personnel Yr 1'!$K$5&gt;3,IF(ISBLANK('Personnel Yr 3'!C65),"",'Personnel Yr 3'!C65),"")</f>
        <v/>
      </c>
      <c r="D65" s="17" t="str">
        <f>IF('Personnel Yr 1'!$K$5&gt;3,IF(ISBLANK('Personnel Yr 3'!D65),"",'Personnel Yr 3'!D65),"")</f>
        <v/>
      </c>
      <c r="E65" s="17" t="str">
        <f>IF('Personnel Yr 1'!$K$5&gt;3,IF(ISBLANK('Personnel Yr 3'!E65),"",'Personnel Yr 3'!E65),"")</f>
        <v/>
      </c>
      <c r="F65" s="17" t="str">
        <f>IF('Personnel Yr 1'!$K$5&gt;3,IF(ISBLANK('Personnel Yr 3'!F65),"",'Personnel Yr 3'!F65),"")</f>
        <v/>
      </c>
      <c r="G65" s="483" t="str">
        <f>IF('Personnel Yr 1'!$K$5&gt;3,IF(ISBLANK('Personnel Yr 3'!G65),"",'Personnel Yr 3'!G65),"")</f>
        <v/>
      </c>
      <c r="H65" s="484"/>
      <c r="I65" s="485"/>
      <c r="J65" s="17" t="str">
        <f>IF('Personnel Yr 1'!$K$5&gt;3,IF(AND(OR(ISBLANK($I65),$I65=""),ISBLANK('Personnel Yr 3'!J65)),"",'Personnel Yr 3'!J65),"")</f>
        <v/>
      </c>
      <c r="K65" s="17" t="str">
        <f>IF('Personnel Yr 1'!$K$5&gt;3,IF(AND(OR(ISBLANK($I65),$I65=""),ISBLANK('Personnel Yr 3'!K65)),"",'Personnel Yr 3'!K65),"")</f>
        <v/>
      </c>
      <c r="L65" s="17" t="str">
        <f>IF('Personnel Yr 1'!$K$5&gt;3,IF(AND(OR(ISBLANK($I65),$I65=""),ISBLANK('Personnel Yr 3'!L65)),"",'Personnel Yr 3'!L65),"")</f>
        <v/>
      </c>
      <c r="M65" s="32" t="str">
        <f>IF('Personnel Yr 1'!$K$5&gt;3,IF(AND(NOT(ISBLANK('Personnel Yr 3'!M65)),'Personnel Yr 3'!M65&lt;&gt;""),(('Personnel Yr 3'!M65*'Personnel Yr 1'!$D$5)+'Personnel Yr 3'!M65),""),"")</f>
        <v/>
      </c>
      <c r="N65" s="34" t="str">
        <f t="shared" si="10"/>
        <v/>
      </c>
      <c r="O65" s="40" t="str">
        <f t="shared" si="11"/>
        <v/>
      </c>
      <c r="P65" s="15"/>
    </row>
    <row r="66" spans="1:16" x14ac:dyDescent="0.2">
      <c r="A66" s="4">
        <v>14</v>
      </c>
      <c r="B66" s="5" t="str">
        <f>IF('Personnel Yr 1'!$K$5&gt;3,IF(ISBLANK('Personnel Yr 3'!B66),"",'Personnel Yr 3'!B66),"")</f>
        <v/>
      </c>
      <c r="C66" s="17" t="str">
        <f>IF('Personnel Yr 1'!$K$5&gt;3,IF(ISBLANK('Personnel Yr 3'!C66),"",'Personnel Yr 3'!C66),"")</f>
        <v/>
      </c>
      <c r="D66" s="17" t="str">
        <f>IF('Personnel Yr 1'!$K$5&gt;3,IF(ISBLANK('Personnel Yr 3'!D66),"",'Personnel Yr 3'!D66),"")</f>
        <v/>
      </c>
      <c r="E66" s="17" t="str">
        <f>IF('Personnel Yr 1'!$K$5&gt;3,IF(ISBLANK('Personnel Yr 3'!E66),"",'Personnel Yr 3'!E66),"")</f>
        <v/>
      </c>
      <c r="F66" s="17" t="str">
        <f>IF('Personnel Yr 1'!$K$5&gt;3,IF(ISBLANK('Personnel Yr 3'!F66),"",'Personnel Yr 3'!F66),"")</f>
        <v/>
      </c>
      <c r="G66" s="483" t="str">
        <f>IF('Personnel Yr 1'!$K$5&gt;3,IF(ISBLANK('Personnel Yr 3'!G66),"",'Personnel Yr 3'!G66),"")</f>
        <v/>
      </c>
      <c r="H66" s="484"/>
      <c r="I66" s="485"/>
      <c r="J66" s="17" t="str">
        <f>IF('Personnel Yr 1'!$K$5&gt;3,IF(AND(OR(ISBLANK($I66),$I66=""),ISBLANK('Personnel Yr 3'!J66)),"",'Personnel Yr 3'!J66),"")</f>
        <v/>
      </c>
      <c r="K66" s="17" t="str">
        <f>IF('Personnel Yr 1'!$K$5&gt;3,IF(AND(OR(ISBLANK($I66),$I66=""),ISBLANK('Personnel Yr 3'!K66)),"",'Personnel Yr 3'!K66),"")</f>
        <v/>
      </c>
      <c r="L66" s="17" t="str">
        <f>IF('Personnel Yr 1'!$K$5&gt;3,IF(AND(OR(ISBLANK($I66),$I66=""),ISBLANK('Personnel Yr 3'!L66)),"",'Personnel Yr 3'!L66),"")</f>
        <v/>
      </c>
      <c r="M66" s="32" t="str">
        <f>IF('Personnel Yr 1'!$K$5&gt;3,IF(AND(NOT(ISBLANK('Personnel Yr 3'!M66)),'Personnel Yr 3'!M66&lt;&gt;""),(('Personnel Yr 3'!M66*'Personnel Yr 1'!$D$5)+'Personnel Yr 3'!M66),""),"")</f>
        <v/>
      </c>
      <c r="N66" s="34" t="str">
        <f t="shared" si="10"/>
        <v/>
      </c>
      <c r="O66" s="40" t="str">
        <f t="shared" si="11"/>
        <v/>
      </c>
      <c r="P66" s="15"/>
    </row>
    <row r="67" spans="1:16" x14ac:dyDescent="0.2">
      <c r="A67" s="4">
        <v>15</v>
      </c>
      <c r="B67" s="5" t="str">
        <f>IF('Personnel Yr 1'!$K$5&gt;3,IF(ISBLANK('Personnel Yr 3'!B67),"",'Personnel Yr 3'!B67),"")</f>
        <v/>
      </c>
      <c r="C67" s="17" t="str">
        <f>IF('Personnel Yr 1'!$K$5&gt;3,IF(ISBLANK('Personnel Yr 3'!C67),"",'Personnel Yr 3'!C67),"")</f>
        <v/>
      </c>
      <c r="D67" s="17" t="str">
        <f>IF('Personnel Yr 1'!$K$5&gt;3,IF(ISBLANK('Personnel Yr 3'!D67),"",'Personnel Yr 3'!D67),"")</f>
        <v/>
      </c>
      <c r="E67" s="17" t="str">
        <f>IF('Personnel Yr 1'!$K$5&gt;3,IF(ISBLANK('Personnel Yr 3'!E67),"",'Personnel Yr 3'!E67),"")</f>
        <v/>
      </c>
      <c r="F67" s="17" t="str">
        <f>IF('Personnel Yr 1'!$K$5&gt;3,IF(ISBLANK('Personnel Yr 3'!F67),"",'Personnel Yr 3'!F67),"")</f>
        <v/>
      </c>
      <c r="G67" s="483" t="str">
        <f>IF('Personnel Yr 1'!$K$5&gt;3,IF(ISBLANK('Personnel Yr 3'!G67),"",'Personnel Yr 3'!G67),"")</f>
        <v/>
      </c>
      <c r="H67" s="484"/>
      <c r="I67" s="485"/>
      <c r="J67" s="17" t="str">
        <f>IF('Personnel Yr 1'!$K$5&gt;3,IF(AND(OR(ISBLANK($I67),$I67=""),ISBLANK('Personnel Yr 3'!J67)),"",'Personnel Yr 3'!J67),"")</f>
        <v/>
      </c>
      <c r="K67" s="17" t="str">
        <f>IF('Personnel Yr 1'!$K$5&gt;3,IF(AND(OR(ISBLANK($I67),$I67=""),ISBLANK('Personnel Yr 3'!K67)),"",'Personnel Yr 3'!K67),"")</f>
        <v/>
      </c>
      <c r="L67" s="17" t="str">
        <f>IF('Personnel Yr 1'!$K$5&gt;3,IF(AND(OR(ISBLANK($I67),$I67=""),ISBLANK('Personnel Yr 3'!L67)),"",'Personnel Yr 3'!L67),"")</f>
        <v/>
      </c>
      <c r="M67" s="32" t="str">
        <f>IF('Personnel Yr 1'!$K$5&gt;3,IF(AND(NOT(ISBLANK('Personnel Yr 3'!M67)),'Personnel Yr 3'!M67&lt;&gt;""),(('Personnel Yr 3'!M67*'Personnel Yr 1'!$D$5)+'Personnel Yr 3'!M67),""),"")</f>
        <v/>
      </c>
      <c r="N67" s="34" t="str">
        <f t="shared" si="10"/>
        <v/>
      </c>
      <c r="O67" s="40" t="str">
        <f t="shared" si="11"/>
        <v/>
      </c>
      <c r="P67" s="15"/>
    </row>
    <row r="68" spans="1:16" x14ac:dyDescent="0.2">
      <c r="A68" s="4">
        <v>16</v>
      </c>
      <c r="B68" s="5" t="str">
        <f>IF('Personnel Yr 1'!$K$5&gt;3,IF(ISBLANK('Personnel Yr 3'!B68),"",'Personnel Yr 3'!B68),"")</f>
        <v/>
      </c>
      <c r="C68" s="17" t="str">
        <f>IF('Personnel Yr 1'!$K$5&gt;3,IF(ISBLANK('Personnel Yr 3'!C68),"",'Personnel Yr 3'!C68),"")</f>
        <v/>
      </c>
      <c r="D68" s="17" t="str">
        <f>IF('Personnel Yr 1'!$K$5&gt;3,IF(ISBLANK('Personnel Yr 3'!D68),"",'Personnel Yr 3'!D68),"")</f>
        <v/>
      </c>
      <c r="E68" s="17" t="str">
        <f>IF('Personnel Yr 1'!$K$5&gt;3,IF(ISBLANK('Personnel Yr 3'!E68),"",'Personnel Yr 3'!E68),"")</f>
        <v/>
      </c>
      <c r="F68" s="17" t="str">
        <f>IF('Personnel Yr 1'!$K$5&gt;3,IF(ISBLANK('Personnel Yr 3'!F68),"",'Personnel Yr 3'!F68),"")</f>
        <v/>
      </c>
      <c r="G68" s="483" t="str">
        <f>IF('Personnel Yr 1'!$K$5&gt;3,IF(ISBLANK('Personnel Yr 3'!G68),"",'Personnel Yr 3'!G68),"")</f>
        <v/>
      </c>
      <c r="H68" s="484"/>
      <c r="I68" s="485"/>
      <c r="J68" s="17" t="str">
        <f>IF('Personnel Yr 1'!$K$5&gt;3,IF(AND(OR(ISBLANK($I68),$I68=""),ISBLANK('Personnel Yr 3'!J68)),"",'Personnel Yr 3'!J68),"")</f>
        <v/>
      </c>
      <c r="K68" s="17" t="str">
        <f>IF('Personnel Yr 1'!$K$5&gt;3,IF(AND(OR(ISBLANK($I68),$I68=""),ISBLANK('Personnel Yr 3'!K68)),"",'Personnel Yr 3'!K68),"")</f>
        <v/>
      </c>
      <c r="L68" s="17" t="str">
        <f>IF('Personnel Yr 1'!$K$5&gt;3,IF(AND(OR(ISBLANK($I68),$I68=""),ISBLANK('Personnel Yr 3'!L68)),"",'Personnel Yr 3'!L68),"")</f>
        <v/>
      </c>
      <c r="M68" s="32" t="str">
        <f>IF('Personnel Yr 1'!$K$5&gt;3,IF(AND(NOT(ISBLANK('Personnel Yr 3'!M68)),'Personnel Yr 3'!M68&lt;&gt;""),(('Personnel Yr 3'!M68*'Personnel Yr 1'!$D$5)+'Personnel Yr 3'!M68),""),"")</f>
        <v/>
      </c>
      <c r="N68" s="34" t="str">
        <f t="shared" si="10"/>
        <v/>
      </c>
      <c r="O68" s="40" t="str">
        <f t="shared" si="11"/>
        <v/>
      </c>
      <c r="P68" s="188"/>
    </row>
    <row r="69" spans="1:16" x14ac:dyDescent="0.2">
      <c r="A69" s="4">
        <v>17</v>
      </c>
      <c r="B69" s="5" t="str">
        <f>IF('Personnel Yr 1'!$K$5&gt;3,IF(ISBLANK('Personnel Yr 3'!B69),"",'Personnel Yr 3'!B69),"")</f>
        <v/>
      </c>
      <c r="C69" s="17" t="str">
        <f>IF('Personnel Yr 1'!$K$5&gt;3,IF(ISBLANK('Personnel Yr 3'!C69),"",'Personnel Yr 3'!C69),"")</f>
        <v/>
      </c>
      <c r="D69" s="17" t="str">
        <f>IF('Personnel Yr 1'!$K$5&gt;3,IF(ISBLANK('Personnel Yr 3'!D69),"",'Personnel Yr 3'!D69),"")</f>
        <v/>
      </c>
      <c r="E69" s="17" t="str">
        <f>IF('Personnel Yr 1'!$K$5&gt;3,IF(ISBLANK('Personnel Yr 3'!E69),"",'Personnel Yr 3'!E69),"")</f>
        <v/>
      </c>
      <c r="F69" s="17" t="str">
        <f>IF('Personnel Yr 1'!$K$5&gt;3,IF(ISBLANK('Personnel Yr 3'!F69),"",'Personnel Yr 3'!F69),"")</f>
        <v/>
      </c>
      <c r="G69" s="483" t="str">
        <f>IF('Personnel Yr 1'!$K$5&gt;3,IF(ISBLANK('Personnel Yr 3'!G69),"",'Personnel Yr 3'!G69),"")</f>
        <v/>
      </c>
      <c r="H69" s="484"/>
      <c r="I69" s="485"/>
      <c r="J69" s="17" t="str">
        <f>IF('Personnel Yr 1'!$K$5&gt;3,IF(AND(OR(ISBLANK($I69),$I69=""),ISBLANK('Personnel Yr 3'!J69)),"",'Personnel Yr 3'!J69),"")</f>
        <v/>
      </c>
      <c r="K69" s="17" t="str">
        <f>IF('Personnel Yr 1'!$K$5&gt;3,IF(AND(OR(ISBLANK($I69),$I69=""),ISBLANK('Personnel Yr 3'!K69)),"",'Personnel Yr 3'!K69),"")</f>
        <v/>
      </c>
      <c r="L69" s="17" t="str">
        <f>IF('Personnel Yr 1'!$K$5&gt;3,IF(AND(OR(ISBLANK($I69),$I69=""),ISBLANK('Personnel Yr 3'!L69)),"",'Personnel Yr 3'!L69),"")</f>
        <v/>
      </c>
      <c r="M69" s="32" t="str">
        <f>IF('Personnel Yr 1'!$K$5&gt;3,IF(AND(NOT(ISBLANK('Personnel Yr 3'!M69)),'Personnel Yr 3'!M69&lt;&gt;""),(('Personnel Yr 3'!M69*'Personnel Yr 1'!$D$5)+'Personnel Yr 3'!M69),""),"")</f>
        <v/>
      </c>
      <c r="N69" s="34" t="str">
        <f t="shared" si="10"/>
        <v/>
      </c>
      <c r="O69" s="40" t="str">
        <f t="shared" si="11"/>
        <v/>
      </c>
      <c r="P69" s="188"/>
    </row>
    <row r="70" spans="1:16" x14ac:dyDescent="0.2">
      <c r="A70" s="4">
        <v>18</v>
      </c>
      <c r="B70" s="5" t="str">
        <f>IF('Personnel Yr 1'!$K$5&gt;3,IF(ISBLANK('Personnel Yr 3'!B70),"",'Personnel Yr 3'!B70),"")</f>
        <v/>
      </c>
      <c r="C70" s="17" t="str">
        <f>IF('Personnel Yr 1'!$K$5&gt;3,IF(ISBLANK('Personnel Yr 3'!C70),"",'Personnel Yr 3'!C70),"")</f>
        <v/>
      </c>
      <c r="D70" s="17" t="str">
        <f>IF('Personnel Yr 1'!$K$5&gt;3,IF(ISBLANK('Personnel Yr 3'!D70),"",'Personnel Yr 3'!D70),"")</f>
        <v/>
      </c>
      <c r="E70" s="17" t="str">
        <f>IF('Personnel Yr 1'!$K$5&gt;3,IF(ISBLANK('Personnel Yr 3'!E70),"",'Personnel Yr 3'!E70),"")</f>
        <v/>
      </c>
      <c r="F70" s="17" t="str">
        <f>IF('Personnel Yr 1'!$K$5&gt;3,IF(ISBLANK('Personnel Yr 3'!F70),"",'Personnel Yr 3'!F70),"")</f>
        <v/>
      </c>
      <c r="G70" s="483" t="str">
        <f>IF('Personnel Yr 1'!$K$5&gt;3,IF(ISBLANK('Personnel Yr 3'!G70),"",'Personnel Yr 3'!G70),"")</f>
        <v/>
      </c>
      <c r="H70" s="484"/>
      <c r="I70" s="485"/>
      <c r="J70" s="17" t="str">
        <f>IF('Personnel Yr 1'!$K$5&gt;3,IF(AND(OR(ISBLANK($I70),$I70=""),ISBLANK('Personnel Yr 3'!J70)),"",'Personnel Yr 3'!J70),"")</f>
        <v/>
      </c>
      <c r="K70" s="17" t="str">
        <f>IF('Personnel Yr 1'!$K$5&gt;3,IF(AND(OR(ISBLANK($I70),$I70=""),ISBLANK('Personnel Yr 3'!K70)),"",'Personnel Yr 3'!K70),"")</f>
        <v/>
      </c>
      <c r="L70" s="17" t="str">
        <f>IF('Personnel Yr 1'!$K$5&gt;3,IF(AND(OR(ISBLANK($I70),$I70=""),ISBLANK('Personnel Yr 3'!L70)),"",'Personnel Yr 3'!L70),"")</f>
        <v/>
      </c>
      <c r="M70" s="32" t="str">
        <f>IF('Personnel Yr 1'!$K$5&gt;3,IF(AND(NOT(ISBLANK('Personnel Yr 3'!M70)),'Personnel Yr 3'!M70&lt;&gt;""),(('Personnel Yr 3'!M70*'Personnel Yr 1'!$D$5)+'Personnel Yr 3'!M70),""),"")</f>
        <v/>
      </c>
      <c r="N70" s="34" t="str">
        <f t="shared" si="10"/>
        <v/>
      </c>
      <c r="O70" s="40" t="str">
        <f t="shared" si="11"/>
        <v/>
      </c>
      <c r="P70" s="188"/>
    </row>
    <row r="71" spans="1:16" x14ac:dyDescent="0.2">
      <c r="A71" s="4">
        <v>19</v>
      </c>
      <c r="B71" s="5" t="str">
        <f>IF('Personnel Yr 1'!$K$5&gt;3,IF(ISBLANK('Personnel Yr 3'!B71),"",'Personnel Yr 3'!B71),"")</f>
        <v/>
      </c>
      <c r="C71" s="17" t="str">
        <f>IF('Personnel Yr 1'!$K$5&gt;3,IF(ISBLANK('Personnel Yr 3'!C71),"",'Personnel Yr 3'!C71),"")</f>
        <v/>
      </c>
      <c r="D71" s="17" t="str">
        <f>IF('Personnel Yr 1'!$K$5&gt;3,IF(ISBLANK('Personnel Yr 3'!D71),"",'Personnel Yr 3'!D71),"")</f>
        <v/>
      </c>
      <c r="E71" s="17" t="str">
        <f>IF('Personnel Yr 1'!$K$5&gt;3,IF(ISBLANK('Personnel Yr 3'!E71),"",'Personnel Yr 3'!E71),"")</f>
        <v/>
      </c>
      <c r="F71" s="17" t="str">
        <f>IF('Personnel Yr 1'!$K$5&gt;3,IF(ISBLANK('Personnel Yr 3'!F71),"",'Personnel Yr 3'!F71),"")</f>
        <v/>
      </c>
      <c r="G71" s="483" t="str">
        <f>IF('Personnel Yr 1'!$K$5&gt;3,IF(ISBLANK('Personnel Yr 3'!G71),"",'Personnel Yr 3'!G71),"")</f>
        <v/>
      </c>
      <c r="H71" s="484"/>
      <c r="I71" s="485"/>
      <c r="J71" s="17" t="str">
        <f>IF('Personnel Yr 1'!$K$5&gt;3,IF(AND(OR(ISBLANK($I71),$I71=""),ISBLANK('Personnel Yr 3'!J71)),"",'Personnel Yr 3'!J71),"")</f>
        <v/>
      </c>
      <c r="K71" s="17" t="str">
        <f>IF('Personnel Yr 1'!$K$5&gt;3,IF(AND(OR(ISBLANK($I71),$I71=""),ISBLANK('Personnel Yr 3'!K71)),"",'Personnel Yr 3'!K71),"")</f>
        <v/>
      </c>
      <c r="L71" s="17" t="str">
        <f>IF('Personnel Yr 1'!$K$5&gt;3,IF(AND(OR(ISBLANK($I71),$I71=""),ISBLANK('Personnel Yr 3'!L71)),"",'Personnel Yr 3'!L71),"")</f>
        <v/>
      </c>
      <c r="M71" s="32" t="str">
        <f>IF('Personnel Yr 1'!$K$5&gt;3,IF(AND(NOT(ISBLANK('Personnel Yr 3'!M71)),'Personnel Yr 3'!M71&lt;&gt;""),(('Personnel Yr 3'!M71*'Personnel Yr 1'!$D$5)+'Personnel Yr 3'!M71),""),"")</f>
        <v/>
      </c>
      <c r="N71" s="34" t="str">
        <f t="shared" si="10"/>
        <v/>
      </c>
      <c r="O71" s="40" t="str">
        <f t="shared" si="11"/>
        <v/>
      </c>
      <c r="P71" s="188"/>
    </row>
    <row r="72" spans="1:16" ht="13.5" thickBot="1" x14ac:dyDescent="0.25">
      <c r="A72" s="4">
        <v>20</v>
      </c>
      <c r="B72" s="202" t="str">
        <f>IF('Personnel Yr 1'!$K$5&gt;3,IF(ISBLANK('Personnel Yr 3'!B72),"",'Personnel Yr 3'!B72),"")</f>
        <v/>
      </c>
      <c r="C72" s="22" t="str">
        <f>IF('Personnel Yr 1'!$K$5&gt;3,IF(ISBLANK('Personnel Yr 3'!C72),"",'Personnel Yr 3'!C72),"")</f>
        <v/>
      </c>
      <c r="D72" s="22" t="str">
        <f>IF('Personnel Yr 1'!$K$5&gt;3,IF(ISBLANK('Personnel Yr 3'!D72),"",'Personnel Yr 3'!D72),"")</f>
        <v/>
      </c>
      <c r="E72" s="22" t="str">
        <f>IF('Personnel Yr 1'!$K$5&gt;3,IF(ISBLANK('Personnel Yr 3'!E72),"",'Personnel Yr 3'!E72),"")</f>
        <v/>
      </c>
      <c r="F72" s="22" t="str">
        <f>IF('Personnel Yr 1'!$K$5&gt;3,IF(ISBLANK('Personnel Yr 3'!F72),"",'Personnel Yr 3'!F72),"")</f>
        <v/>
      </c>
      <c r="G72" s="550" t="str">
        <f>IF('Personnel Yr 1'!$K$5&gt;3,IF(ISBLANK('Personnel Yr 3'!G72),"",'Personnel Yr 3'!G72),"")</f>
        <v/>
      </c>
      <c r="H72" s="551"/>
      <c r="I72" s="552"/>
      <c r="J72" s="22" t="str">
        <f>IF('Personnel Yr 1'!$K$5&gt;3,IF(AND(OR(ISBLANK($I72),$I72=""),ISBLANK('Personnel Yr 3'!J72)),"",'Personnel Yr 3'!J72),"")</f>
        <v/>
      </c>
      <c r="K72" s="22" t="str">
        <f>IF('Personnel Yr 1'!$K$5&gt;3,IF(AND(OR(ISBLANK($I72),$I72=""),ISBLANK('Personnel Yr 3'!K72)),"",'Personnel Yr 3'!K72),"")</f>
        <v/>
      </c>
      <c r="L72" s="22" t="str">
        <f>IF('Personnel Yr 1'!$K$5&gt;3,IF(AND(OR(ISBLANK($I72),$I72=""),ISBLANK('Personnel Yr 3'!L72)),"",'Personnel Yr 3'!L72),"")</f>
        <v/>
      </c>
      <c r="M72" s="33" t="str">
        <f>IF('Personnel Yr 1'!$K$5&gt;3,IF(AND(NOT(ISBLANK('Personnel Yr 3'!M72)),'Personnel Yr 3'!M72&lt;&gt;""),(('Personnel Yr 3'!M72*'Personnel Yr 1'!$D$5)+'Personnel Yr 3'!M72),""),"")</f>
        <v/>
      </c>
      <c r="N72" s="42" t="str">
        <f t="shared" si="10"/>
        <v/>
      </c>
      <c r="O72" s="208" t="str">
        <f t="shared" si="11"/>
        <v/>
      </c>
      <c r="P72" s="188"/>
    </row>
    <row r="73" spans="1:16" ht="13.5" thickBot="1" x14ac:dyDescent="0.25">
      <c r="B73" s="406">
        <f>COUNTIF(E53:E67,"*")</f>
        <v>15</v>
      </c>
      <c r="O73" s="327">
        <f>SUM(O53:O67)</f>
        <v>0</v>
      </c>
      <c r="P73" s="414"/>
    </row>
    <row r="74" spans="1:16" ht="13.5" thickBot="1" x14ac:dyDescent="0.25"/>
    <row r="75" spans="1:16" ht="12.75" customHeight="1" x14ac:dyDescent="0.2">
      <c r="G75" s="335" t="s">
        <v>448</v>
      </c>
      <c r="H75" s="335"/>
      <c r="I75" s="533" t="s">
        <v>225</v>
      </c>
      <c r="J75" s="534"/>
      <c r="K75" s="534"/>
      <c r="L75" s="534"/>
      <c r="M75" s="535"/>
    </row>
    <row r="76" spans="1:16" ht="12.75" customHeight="1" thickBot="1" x14ac:dyDescent="0.25">
      <c r="G76" s="335" t="b">
        <f>IFERROR(OR(AND('Personnel Yr 1'!O5="Federal - NIH",SUM('Non-personnel'!$J$41,$O$41)/$B$41&lt;=NIHGradLimit),'Personnel Yr 1'!O5&lt;&gt;"Federal - NIH"),TRUE)</f>
        <v>1</v>
      </c>
      <c r="H76" s="335"/>
      <c r="I76" s="536"/>
      <c r="J76" s="537"/>
      <c r="K76" s="537"/>
      <c r="L76" s="537"/>
      <c r="M76" s="538"/>
    </row>
    <row r="77" spans="1:16" ht="12.75" customHeight="1" x14ac:dyDescent="0.2">
      <c r="G77" s="335" t="e">
        <f>SUM('Non-personnel'!$N$41,$O$41)/$B$41</f>
        <v>#VALUE!</v>
      </c>
      <c r="H77" s="335"/>
      <c r="I77" s="525" t="s">
        <v>230</v>
      </c>
      <c r="J77" s="555"/>
      <c r="K77" s="555"/>
      <c r="L77" s="555"/>
      <c r="M77" s="556"/>
    </row>
    <row r="78" spans="1:16" ht="12.75" customHeight="1" x14ac:dyDescent="0.2">
      <c r="I78" s="557"/>
      <c r="J78" s="558"/>
      <c r="K78" s="558"/>
      <c r="L78" s="558"/>
      <c r="M78" s="559"/>
    </row>
    <row r="79" spans="1:16" ht="12.75" customHeight="1" x14ac:dyDescent="0.2">
      <c r="I79" s="557"/>
      <c r="J79" s="558"/>
      <c r="K79" s="558"/>
      <c r="L79" s="558"/>
      <c r="M79" s="559"/>
    </row>
    <row r="80" spans="1:16" ht="12.75" customHeight="1" x14ac:dyDescent="0.2">
      <c r="I80" s="557"/>
      <c r="J80" s="558"/>
      <c r="K80" s="558"/>
      <c r="L80" s="558"/>
      <c r="M80" s="559"/>
    </row>
    <row r="81" spans="9:13" ht="12.75" customHeight="1" thickBot="1" x14ac:dyDescent="0.25">
      <c r="I81" s="560"/>
      <c r="J81" s="561"/>
      <c r="K81" s="561"/>
      <c r="L81" s="561"/>
      <c r="M81" s="562"/>
    </row>
    <row r="82" spans="9:13" ht="12.75" customHeight="1" thickBot="1" x14ac:dyDescent="0.25">
      <c r="I82" s="200" t="s">
        <v>226</v>
      </c>
      <c r="J82" s="193"/>
      <c r="K82" s="199" t="s">
        <v>227</v>
      </c>
      <c r="L82" s="199" t="s">
        <v>228</v>
      </c>
      <c r="M82" s="198" t="s">
        <v>229</v>
      </c>
    </row>
    <row r="83" spans="9:13" ht="12.75" customHeight="1" thickBot="1" x14ac:dyDescent="0.25">
      <c r="I83" s="194">
        <v>0</v>
      </c>
      <c r="J83" s="195"/>
      <c r="K83" s="196">
        <f>I83*12</f>
        <v>0</v>
      </c>
      <c r="L83" s="196">
        <f>I83*8.5</f>
        <v>0</v>
      </c>
      <c r="M83" s="197">
        <f>I83*3.5</f>
        <v>0</v>
      </c>
    </row>
  </sheetData>
  <sheetProtection algorithmName="SHA-512" hashValue="xeWv326uvXCtFzn2b9XjETNRKwfvDi+aXJFK6yJ+gbNzl6f6q6P8PTgh8iD00K5LYUBYb5ygLuiy4zQSnY+INQ==" saltValue="YFyk74q3ibRqQwvd/gw9SQ==" spinCount="100000" sheet="1" objects="1" scenarios="1"/>
  <mergeCells count="48">
    <mergeCell ref="C43:F43"/>
    <mergeCell ref="C47:I47"/>
    <mergeCell ref="C48:I48"/>
    <mergeCell ref="C49:F49"/>
    <mergeCell ref="J49:N49"/>
    <mergeCell ref="I75:M76"/>
    <mergeCell ref="I77:M81"/>
    <mergeCell ref="C44:I44"/>
    <mergeCell ref="C45:I45"/>
    <mergeCell ref="C46:I46"/>
    <mergeCell ref="J50:N50"/>
    <mergeCell ref="G57:I57"/>
    <mergeCell ref="G58:I58"/>
    <mergeCell ref="G59:I59"/>
    <mergeCell ref="G60:I60"/>
    <mergeCell ref="G61:I61"/>
    <mergeCell ref="G62:I62"/>
    <mergeCell ref="G63:I63"/>
    <mergeCell ref="G64:I64"/>
    <mergeCell ref="G65:I65"/>
    <mergeCell ref="B51:C51"/>
    <mergeCell ref="B37:C37"/>
    <mergeCell ref="D37:L37"/>
    <mergeCell ref="A3:O3"/>
    <mergeCell ref="C39:I39"/>
    <mergeCell ref="C42:I42"/>
    <mergeCell ref="C40:I40"/>
    <mergeCell ref="C16:F16"/>
    <mergeCell ref="C41:I41"/>
    <mergeCell ref="B18:D18"/>
    <mergeCell ref="A1:O1"/>
    <mergeCell ref="B5:C5"/>
    <mergeCell ref="C15:F15"/>
    <mergeCell ref="K16:N16"/>
    <mergeCell ref="G15:N15"/>
    <mergeCell ref="P52:Q52"/>
    <mergeCell ref="G53:I53"/>
    <mergeCell ref="G54:I54"/>
    <mergeCell ref="G55:I55"/>
    <mergeCell ref="G56:I56"/>
    <mergeCell ref="D51:L51"/>
    <mergeCell ref="G71:I71"/>
    <mergeCell ref="G72:I72"/>
    <mergeCell ref="G66:I66"/>
    <mergeCell ref="G67:I67"/>
    <mergeCell ref="G68:I68"/>
    <mergeCell ref="G69:I69"/>
    <mergeCell ref="G70:I70"/>
  </mergeCells>
  <phoneticPr fontId="5" type="noConversion"/>
  <conditionalFormatting sqref="I7:I14">
    <cfRule type="expression" dxfId="15" priority="5">
      <formula>$Z$7</formula>
    </cfRule>
  </conditionalFormatting>
  <conditionalFormatting sqref="I20:I34">
    <cfRule type="expression" dxfId="14" priority="4">
      <formula>$Z$7</formula>
    </cfRule>
  </conditionalFormatting>
  <conditionalFormatting sqref="I43">
    <cfRule type="cellIs" dxfId="13" priority="3" stopIfTrue="1" operator="equal">
      <formula>""</formula>
    </cfRule>
  </conditionalFormatting>
  <conditionalFormatting sqref="M53:M72">
    <cfRule type="expression" dxfId="12" priority="2">
      <formula>$Z$7</formula>
    </cfRule>
  </conditionalFormatting>
  <dataValidations count="5">
    <dataValidation type="list" allowBlank="1" showInputMessage="1" showErrorMessage="1" sqref="I43" xr:uid="{8AB0B34C-2D14-4AEB-9BA9-49FBDE98C943}">
      <formula1>Grad</formula1>
    </dataValidation>
    <dataValidation type="list" allowBlank="1" showInputMessage="1" showErrorMessage="1" sqref="B7:B14 B20:B34 B53:B72" xr:uid="{00000000-0002-0000-0400-000001000000}">
      <formula1>Prefix</formula1>
    </dataValidation>
    <dataValidation type="list" allowBlank="1" showInputMessage="1" showErrorMessage="1" sqref="G20:G34 G7:G14" xr:uid="{00000000-0002-0000-0400-000002000000}">
      <formula1>Roles</formula1>
    </dataValidation>
    <dataValidation type="list" allowBlank="1" showInputMessage="1" showErrorMessage="1" sqref="G53:I72" xr:uid="{E3469425-009C-46B2-AED1-87C383D4460B}">
      <formula1>OtherRoles</formula1>
    </dataValidation>
    <dataValidation type="list" allowBlank="1" showInputMessage="1" showErrorMessage="1" sqref="H7:H14 H20:H34" xr:uid="{95DE8EE0-F225-4345-B87C-491F1DF94993}">
      <formula1>Designation</formula1>
    </dataValidation>
  </dataValidations>
  <printOptions horizontalCentered="1"/>
  <pageMargins left="0.25" right="0.25" top="0.5" bottom="0.5" header="0.5" footer="0.5"/>
  <pageSetup scale="78" orientation="landscape" r:id="rId1"/>
  <headerFooter alignWithMargins="0">
    <oddFooter>&amp;RPrinted On: &amp;D &amp;T</oddFooter>
  </headerFooter>
  <rowBreaks count="1" manualBreakCount="1">
    <brk id="50" max="14" man="1"/>
  </rowBreaks>
  <colBreaks count="1" manualBreakCount="1">
    <brk id="15" max="1048575" man="1"/>
  </colBreaks>
  <ignoredErrors>
    <ignoredError sqref="O7:O14 B7:G14 J36:L36 B36:G36 M36:O36 I36 C15:G16 I15:I17 N15:N17 B17:G17 J15:L17 M15:M17 O17" unlockedFormula="1"/>
  </ignoredErrors>
  <extLst>
    <ext xmlns:x14="http://schemas.microsoft.com/office/spreadsheetml/2009/9/main" uri="{78C0D931-6437-407d-A8EE-F0AAD7539E65}">
      <x14:conditionalFormattings>
        <x14:conditionalFormatting xmlns:xm="http://schemas.microsoft.com/office/excel/2006/main">
          <x14:cfRule type="expression" priority="1" id="{5D11E924-775B-4868-B0DB-1CF655E558E7}">
            <xm:f>IF(O5="Federal - NIH",SUM('Non-personnel'!$H$41,$O$43)/IF(OR(ISBLANK($B$43),NOT(ISNUMBER($B$43))),1,$B$43)&gt;NIHGradLimit)</xm:f>
            <x14:dxf>
              <fill>
                <patternFill>
                  <bgColor rgb="FFFFFF00"/>
                </patternFill>
              </fill>
            </x14:dxf>
          </x14:cfRule>
          <xm:sqref>O43</xm:sqref>
        </x14:conditionalFormatting>
      </x14:conditionalFormattings>
    </ext>
    <ext xmlns:x14="http://schemas.microsoft.com/office/spreadsheetml/2009/9/main" uri="{CCE6A557-97BC-4b89-ADB6-D9C93CAAB3DF}">
      <x14:dataValidations xmlns:xm="http://schemas.microsoft.com/office/excel/2006/main" count="1">
        <x14:dataValidation type="custom" errorStyle="information" allowBlank="1" showInputMessage="1" showErrorMessage="1" errorTitle="Salary Cap Error" error="Base salary should remain under $221,900 for calandar appointments and $157,179 for academic appointments." xr:uid="{9179070E-EC6C-4FE1-8290-5A2B0540EB39}">
          <x14:formula1>
            <xm:f>IF(AND('Personnel Yr 1'!$O$5="Federal - NIH",OR(NOT(ISBLANK($J7)),NOT(ISBLANK($K7)),NOT(ISBLANK($L7)),$J7&lt;&gt;"",$K7&lt;&gt;"",$L7&lt;&gt;"")),IF($J7&gt;0,$I7&lt;=NIHSalaryCap,$I7&lt;=(NIHSalaryCap*8.5)/12),TRUE)</xm:f>
          </x14:formula1>
          <xm:sqref>I7:I14 I20:I34 J7:J14 J20:J34 J53:J72 K53:K72 K20:K34 K7:K14 L7:L14 L20:L34 L53:L72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A83"/>
  <sheetViews>
    <sheetView workbookViewId="0">
      <selection sqref="A1:O1"/>
    </sheetView>
  </sheetViews>
  <sheetFormatPr defaultRowHeight="12.75" x14ac:dyDescent="0.2"/>
  <cols>
    <col min="1" max="1" width="3" bestFit="1" customWidth="1"/>
    <col min="2" max="2" width="6.42578125" customWidth="1"/>
    <col min="3" max="3" width="18.7109375" customWidth="1"/>
    <col min="4" max="4" width="9.28515625" customWidth="1"/>
    <col min="5" max="5" width="18.7109375" customWidth="1"/>
    <col min="6" max="6" width="6.28515625" customWidth="1"/>
    <col min="7" max="7" width="14.7109375" customWidth="1"/>
    <col min="8" max="8" width="30.7109375" customWidth="1"/>
    <col min="9" max="9" width="10.5703125" customWidth="1"/>
    <col min="10" max="12" width="7.42578125" customWidth="1"/>
    <col min="13" max="15" width="10.5703125" customWidth="1"/>
    <col min="16" max="16" width="72.140625" customWidth="1"/>
    <col min="17" max="30" width="9.140625" style="335"/>
    <col min="31" max="53" width="9.140625" style="273"/>
  </cols>
  <sheetData>
    <row r="1" spans="1:26" ht="18" x14ac:dyDescent="0.25">
      <c r="A1" s="539" t="s">
        <v>71</v>
      </c>
      <c r="B1" s="539"/>
      <c r="C1" s="539"/>
      <c r="D1" s="539"/>
      <c r="E1" s="539"/>
      <c r="F1" s="539"/>
      <c r="G1" s="539"/>
      <c r="H1" s="539"/>
      <c r="I1" s="539"/>
      <c r="J1" s="539"/>
      <c r="K1" s="539"/>
      <c r="L1" s="539"/>
      <c r="M1" s="539"/>
      <c r="N1" s="539"/>
      <c r="O1" s="539"/>
    </row>
    <row r="2" spans="1:26" x14ac:dyDescent="0.2">
      <c r="A2" s="1"/>
      <c r="B2" s="1"/>
      <c r="C2" s="1"/>
      <c r="D2" s="1"/>
      <c r="E2" s="1"/>
      <c r="F2" s="1"/>
      <c r="G2" s="1"/>
      <c r="H2" s="1"/>
      <c r="I2" s="1"/>
      <c r="J2" s="1"/>
      <c r="K2" s="1"/>
      <c r="L2" s="1"/>
      <c r="M2" s="1"/>
      <c r="N2" s="1"/>
      <c r="O2" s="1"/>
    </row>
    <row r="3" spans="1:26" ht="18" x14ac:dyDescent="0.25">
      <c r="A3" s="539" t="s">
        <v>75</v>
      </c>
      <c r="B3" s="539"/>
      <c r="C3" s="539"/>
      <c r="D3" s="539"/>
      <c r="E3" s="539"/>
      <c r="F3" s="539"/>
      <c r="G3" s="539"/>
      <c r="H3" s="539"/>
      <c r="I3" s="539"/>
      <c r="J3" s="539"/>
      <c r="K3" s="539"/>
      <c r="L3" s="539"/>
      <c r="M3" s="539"/>
      <c r="N3" s="539"/>
      <c r="O3" s="539"/>
    </row>
    <row r="4" spans="1:26" ht="18" x14ac:dyDescent="0.25">
      <c r="A4" s="51"/>
      <c r="B4" s="51"/>
      <c r="C4" s="51"/>
      <c r="D4" s="51"/>
      <c r="E4" s="51"/>
      <c r="F4" s="51"/>
      <c r="G4" s="51"/>
      <c r="H4" s="51"/>
      <c r="I4" s="51"/>
      <c r="J4" s="51"/>
      <c r="K4" s="51"/>
      <c r="L4" s="51"/>
      <c r="M4" s="51"/>
      <c r="N4" s="51"/>
      <c r="O4" s="51"/>
    </row>
    <row r="5" spans="1:26" ht="12.75" customHeight="1" x14ac:dyDescent="0.2">
      <c r="B5" s="516" t="s">
        <v>5</v>
      </c>
      <c r="C5" s="516"/>
      <c r="O5" s="335">
        <f>'Personnel Yr 4'!O5</f>
        <v>0</v>
      </c>
    </row>
    <row r="6" spans="1:26" ht="26.25" thickBot="1" x14ac:dyDescent="0.25">
      <c r="B6" s="3" t="s">
        <v>0</v>
      </c>
      <c r="C6" s="2" t="s">
        <v>1</v>
      </c>
      <c r="D6" s="2" t="s">
        <v>2</v>
      </c>
      <c r="E6" s="2" t="s">
        <v>3</v>
      </c>
      <c r="F6" s="2" t="s">
        <v>4</v>
      </c>
      <c r="G6" s="2" t="s">
        <v>39</v>
      </c>
      <c r="H6" s="2" t="s">
        <v>532</v>
      </c>
      <c r="I6" s="2" t="s">
        <v>40</v>
      </c>
      <c r="J6" s="2" t="s">
        <v>56</v>
      </c>
      <c r="K6" s="2" t="s">
        <v>57</v>
      </c>
      <c r="L6" s="2" t="s">
        <v>58</v>
      </c>
      <c r="M6" s="3" t="s">
        <v>41</v>
      </c>
      <c r="N6" s="2" t="s">
        <v>42</v>
      </c>
      <c r="O6" s="2" t="s">
        <v>38</v>
      </c>
      <c r="P6" s="2" t="s">
        <v>224</v>
      </c>
      <c r="Q6" s="334" t="s">
        <v>62</v>
      </c>
      <c r="R6" s="334" t="s">
        <v>63</v>
      </c>
      <c r="S6" s="334" t="s">
        <v>64</v>
      </c>
      <c r="U6" s="334" t="s">
        <v>62</v>
      </c>
      <c r="V6" s="334" t="s">
        <v>63</v>
      </c>
      <c r="W6" s="334" t="s">
        <v>64</v>
      </c>
      <c r="Z6" s="335" t="s">
        <v>449</v>
      </c>
    </row>
    <row r="7" spans="1:26" x14ac:dyDescent="0.2">
      <c r="A7" s="4">
        <v>1</v>
      </c>
      <c r="B7" s="57" t="str">
        <f>IF('Personnel Yr 1'!$K$5&gt;4,IF(NOT(OR(ISBLANK('Personnel Yr 4'!B7),'Personnel Yr 4'!B7="")),'Personnel Yr 4'!B7,""),"")</f>
        <v/>
      </c>
      <c r="C7" s="13" t="str">
        <f>IF('Personnel Yr 1'!$K$5&gt;4,IF(ISBLANK('Personnel Yr 4'!C7),"",'Personnel Yr 4'!C7),"")</f>
        <v/>
      </c>
      <c r="D7" s="13" t="str">
        <f>IF('Personnel Yr 1'!$K$5&gt;4,IF(ISBLANK('Personnel Yr 4'!D7),"",'Personnel Yr 4'!D7),"")</f>
        <v/>
      </c>
      <c r="E7" s="13" t="str">
        <f>IF('Personnel Yr 1'!$K$5&gt;4,IF(ISBLANK('Personnel Yr 4'!E7),"",'Personnel Yr 4'!E7),"")</f>
        <v/>
      </c>
      <c r="F7" s="13" t="str">
        <f>IF('Personnel Yr 1'!$K$5&gt;4,IF(ISBLANK('Personnel Yr 4'!F7),"",'Personnel Yr 4'!F7),"")</f>
        <v/>
      </c>
      <c r="G7" s="13" t="str">
        <f>IF('Personnel Yr 1'!$K$5&gt;4,IF(ISBLANK('Personnel Yr 4'!G7),"",'Personnel Yr 4'!G7),"")</f>
        <v/>
      </c>
      <c r="H7" s="13" t="str">
        <f>IF('Personnel Yr 1'!$K$5&gt;4,IF(ISBLANK('Personnel Yr 4'!H7),"",'Personnel Yr 4'!H7),"")</f>
        <v/>
      </c>
      <c r="I7" s="204" t="str">
        <f>IF('Personnel Yr 1'!$K$5&gt;4,IF(NOT(OR(ISBLANK('Personnel Yr 4'!I7),'Personnel Yr 4'!I7="")),(('Personnel Yr 4'!I7*'Personnel Yr 1'!$D$5)+'Personnel Yr 4'!I7),""),"")</f>
        <v/>
      </c>
      <c r="J7" s="13" t="str">
        <f>IF('Personnel Yr 1'!$K$5&gt;4,IF(AND(OR(ISBLANK(I7),I7=""),ISBLANK('Personnel Yr 4'!J7)),"",'Personnel Yr 4'!J7),"")</f>
        <v/>
      </c>
      <c r="K7" s="13" t="str">
        <f>IF('Personnel Yr 1'!$K$5&gt;4,IF(AND(OR(ISBLANK(J7),J7=""),ISBLANK('Personnel Yr 4'!K7)),"",'Personnel Yr 4'!K7),"")</f>
        <v/>
      </c>
      <c r="L7" s="13" t="str">
        <f>IF('Personnel Yr 1'!$K$5&gt;4,IF(AND(OR(ISBLANK(K7),K7=""),ISBLANK('Personnel Yr 4'!L7)),"",'Personnel Yr 4'!L7),"")</f>
        <v/>
      </c>
      <c r="M7" s="35" t="str">
        <f>IF('Personnel Yr 1'!$K$5&gt;4,IF(NOT(OR(ISBLANK(I7),I7="")), IF(OR(AND(ISBLANK(J7),ISBLANK(K7),ISBLANK(L7)),AND(J7="",K7="",L7="")),0, IF((AND((J7&gt;0),((K7+L7)&gt;0))),"Error", IF((J7&gt;0),ROUND((IF(AND('Personnel Yr 1'!$P$5&gt;0,I7&gt;'Personnel Yr 1'!$P$5),'Personnel Yr 1'!$P$5,I7)*(J7/12)),2),ROUND((IF(AND('Personnel Yr 1'!$P$5&gt;0,I7&gt;'Personnel Yr 1'!$P$5),'Personnel Yr 1'!$P$5,I7)*((K7+L7)/8.5)),2)))),""),"")</f>
        <v/>
      </c>
      <c r="N7" s="35" t="str">
        <f>IF('Personnel Yr 1'!$K$5&gt;4,IF(OR(ISBLANK(M7),M7=""),"",ROUND(SUM(U7:W7),2)),"")</f>
        <v/>
      </c>
      <c r="O7" s="36" t="str">
        <f>IF('Personnel Yr 1'!$K$5&gt;4,IF(OR(ISBLANK(N7),N7=""),"",ROUND(SUM(M7:N7),2)),"")</f>
        <v/>
      </c>
      <c r="P7" s="12"/>
      <c r="Q7" s="335">
        <f>IF('Personnel Yr 1'!$K$5&gt;4,IF(NOT(OR(ISBLANK(J7),J7="")),(I7/12)*J7,""),0)</f>
        <v>0</v>
      </c>
      <c r="R7" s="335">
        <f>IF('Personnel Yr 1'!$K$5&gt;4,IF(NOT(OR(ISBLANK(K7),K7="")),(I7/8.5)*K7,""),0)</f>
        <v>0</v>
      </c>
      <c r="S7" s="335">
        <f>IF('Personnel Yr 1'!$K$5&gt;4,IF(NOT(OR(ISBLANK(L7),L7="")),(I7/8.5)*L7,""),0)</f>
        <v>0</v>
      </c>
      <c r="U7" s="335">
        <f t="shared" ref="U7:U14" si="0">IF(OR(ISBLANK(Q7),Q7=""),0,Q7*_xlfn.XLOOKUP("*"&amp;H7&amp;"*",BenB,Per,,2))</f>
        <v>0</v>
      </c>
      <c r="V7" s="335">
        <f t="shared" ref="V7:V14" si="1">IF(OR(ISBLANK(R7),R7=""),0,R7*_xlfn.XLOOKUP("*"&amp;H7&amp;"*",BenB,Per,,2))</f>
        <v>0</v>
      </c>
      <c r="W7" s="335">
        <f t="shared" ref="W7:W14" si="2">IF(OR(ISBLANK(S7),S7=""),0,S7*_xlfn.XLOOKUP("Summer",Ben,Per))</f>
        <v>0</v>
      </c>
      <c r="Y7" s="335">
        <v>7</v>
      </c>
      <c r="Z7" s="335" t="b">
        <f>IF('Personnel Yr 1'!$K$5&gt;4,IF(OR($O$5&lt;&gt;"Federal - NIH",OR(AND(ISBLANK(J7),ISBLANK(K7),ISBLANK(L7)),AND(J7="",K7="",L7=""))),FALSE,IF(J7&gt;0,I7&gt;NIHSalaryCap,I7&gt;(NIHSalaryCap*8.5)/12)),FALSE)</f>
        <v>0</v>
      </c>
    </row>
    <row r="8" spans="1:26" x14ac:dyDescent="0.2">
      <c r="A8" s="4">
        <v>2</v>
      </c>
      <c r="B8" s="5" t="str">
        <f>IF('Personnel Yr 1'!$K$5&gt;4,IF(NOT(OR(ISBLANK('Personnel Yr 4'!B8),'Personnel Yr 4'!B8="")),'Personnel Yr 4'!B8,""),"")</f>
        <v/>
      </c>
      <c r="C8" s="17" t="str">
        <f>IF('Personnel Yr 1'!$K$5&gt;4,IF(ISBLANK('Personnel Yr 4'!C8),"",'Personnel Yr 4'!C8),"")</f>
        <v/>
      </c>
      <c r="D8" s="17" t="str">
        <f>IF('Personnel Yr 1'!$K$5&gt;4,IF(ISBLANK('Personnel Yr 4'!D8),"",'Personnel Yr 4'!D8),"")</f>
        <v/>
      </c>
      <c r="E8" s="17" t="str">
        <f>IF('Personnel Yr 1'!$K$5&gt;4,IF(ISBLANK('Personnel Yr 4'!E8),"",'Personnel Yr 4'!E8),"")</f>
        <v/>
      </c>
      <c r="F8" s="17" t="str">
        <f>IF('Personnel Yr 1'!$K$5&gt;4,IF(ISBLANK('Personnel Yr 4'!F8),"",'Personnel Yr 4'!F8),"")</f>
        <v/>
      </c>
      <c r="G8" s="17" t="str">
        <f>IF('Personnel Yr 1'!$K$5&gt;4,IF(ISBLANK('Personnel Yr 4'!G8),"",'Personnel Yr 4'!G8),"")</f>
        <v/>
      </c>
      <c r="H8" s="17" t="str">
        <f>IF('Personnel Yr 1'!$K$5&gt;4,IF(ISBLANK('Personnel Yr 4'!H8),"",'Personnel Yr 4'!H8),"")</f>
        <v/>
      </c>
      <c r="I8" s="32" t="str">
        <f>IF('Personnel Yr 1'!$K$5&gt;4,IF(NOT(OR(ISBLANK('Personnel Yr 4'!I8),'Personnel Yr 4'!I8="")),(('Personnel Yr 4'!I8*'Personnel Yr 1'!$D$5)+'Personnel Yr 4'!I8),""),"")</f>
        <v/>
      </c>
      <c r="J8" s="17" t="str">
        <f>IF('Personnel Yr 1'!$K$5&gt;4,IF(AND(OR(ISBLANK(I8),I8=""),ISBLANK('Personnel Yr 4'!J8)),"",'Personnel Yr 4'!J8),"")</f>
        <v/>
      </c>
      <c r="K8" s="17" t="str">
        <f>IF('Personnel Yr 1'!$K$5&gt;4,IF(AND(OR(ISBLANK(J8),J8=""),ISBLANK('Personnel Yr 4'!K8)),"",'Personnel Yr 4'!K8),"")</f>
        <v/>
      </c>
      <c r="L8" s="17" t="str">
        <f>IF('Personnel Yr 1'!$K$5&gt;4,IF(AND(OR(ISBLANK(K8),K8=""),ISBLANK('Personnel Yr 4'!L8)),"",'Personnel Yr 4'!L8),"")</f>
        <v/>
      </c>
      <c r="M8" s="34" t="str">
        <f>IF('Personnel Yr 1'!$K$5&gt;4,IF(NOT(OR(ISBLANK(I8),I8="")), IF(OR(AND(ISBLANK(J8),ISBLANK(K8),ISBLANK(L8)),AND(J8="",K8="",L8="")),0, IF((AND((J8&gt;0),((K8+L8)&gt;0))),"Error", IF((J8&gt;0),ROUND((IF(AND('Personnel Yr 1'!$P$5&gt;0,I8&gt;'Personnel Yr 1'!$P$5),'Personnel Yr 1'!$P$5,I8)*(J8/12)),2),ROUND((IF(AND('Personnel Yr 1'!$P$5&gt;0,I8&gt;'Personnel Yr 1'!$P$5),'Personnel Yr 1'!$P$5,I8)*((K8+L8)/8.5)),2)))),""),"")</f>
        <v/>
      </c>
      <c r="N8" s="34" t="str">
        <f>IF('Personnel Yr 1'!$K$5&gt;4,IF(OR(ISBLANK(M8),M8=""),"",ROUND(SUM(U8:W8),2)),"")</f>
        <v/>
      </c>
      <c r="O8" s="41" t="str">
        <f>IF('Personnel Yr 1'!$K$5&gt;4,IF(OR(ISBLANK(N8),N8=""),"",ROUND(SUM(M8:N8),2)),"")</f>
        <v/>
      </c>
      <c r="P8" s="15"/>
      <c r="Q8" s="335">
        <f>IF('Personnel Yr 1'!$K$5&gt;4,IF(NOT(OR(ISBLANK(J8),J8="")),(I8/12)*J8,""),0)</f>
        <v>0</v>
      </c>
      <c r="R8" s="335">
        <f>IF('Personnel Yr 1'!$K$5&gt;4,IF(NOT(OR(ISBLANK(K8),K8="")),(I8/8.5)*K8,""),0)</f>
        <v>0</v>
      </c>
      <c r="S8" s="335">
        <f>IF('Personnel Yr 1'!$K$5&gt;4,IF(NOT(OR(ISBLANK(L8),L8="")),(I8/8.5)*L8,""),0)</f>
        <v>0</v>
      </c>
      <c r="U8" s="335">
        <f t="shared" si="0"/>
        <v>0</v>
      </c>
      <c r="V8" s="335">
        <f t="shared" si="1"/>
        <v>0</v>
      </c>
      <c r="W8" s="335">
        <f t="shared" si="2"/>
        <v>0</v>
      </c>
      <c r="Y8" s="335">
        <v>8</v>
      </c>
      <c r="Z8" s="335" t="b">
        <f>IF('Personnel Yr 1'!$K$5&gt;4,IF(OR($O$5&lt;&gt;"Federal - NIH",OR(AND(ISBLANK(J8),ISBLANK(K8),ISBLANK(L8)),AND(J8="",K8="",L8=""))),FALSE,IF(J8&gt;0,I8&gt;NIHSalaryCap,I8&gt;(NIHSalaryCap*8.5)/12)),FALSE)</f>
        <v>0</v>
      </c>
    </row>
    <row r="9" spans="1:26" x14ac:dyDescent="0.2">
      <c r="A9" s="4">
        <v>3</v>
      </c>
      <c r="B9" s="5" t="str">
        <f>IF('Personnel Yr 1'!$K$5&gt;4,IF(NOT(OR(ISBLANK('Personnel Yr 4'!B9),'Personnel Yr 4'!B9="")),'Personnel Yr 4'!B9,""),"")</f>
        <v/>
      </c>
      <c r="C9" s="17" t="str">
        <f>IF('Personnel Yr 1'!$K$5&gt;4,IF(ISBLANK('Personnel Yr 4'!C9),"",'Personnel Yr 4'!C9),"")</f>
        <v/>
      </c>
      <c r="D9" s="17" t="str">
        <f>IF('Personnel Yr 1'!$K$5&gt;4,IF(ISBLANK('Personnel Yr 4'!D9),"",'Personnel Yr 4'!D9),"")</f>
        <v/>
      </c>
      <c r="E9" s="17" t="str">
        <f>IF('Personnel Yr 1'!$K$5&gt;4,IF(ISBLANK('Personnel Yr 4'!E9),"",'Personnel Yr 4'!E9),"")</f>
        <v/>
      </c>
      <c r="F9" s="17" t="str">
        <f>IF('Personnel Yr 1'!$K$5&gt;4,IF(ISBLANK('Personnel Yr 4'!F9),"",'Personnel Yr 4'!F9),"")</f>
        <v/>
      </c>
      <c r="G9" s="17" t="str">
        <f>IF('Personnel Yr 1'!$K$5&gt;4,IF(ISBLANK('Personnel Yr 4'!G9),"",'Personnel Yr 4'!G9),"")</f>
        <v/>
      </c>
      <c r="H9" s="17" t="str">
        <f>IF('Personnel Yr 1'!$K$5&gt;4,IF(ISBLANK('Personnel Yr 4'!H9),"",'Personnel Yr 4'!H9),"")</f>
        <v/>
      </c>
      <c r="I9" s="32" t="str">
        <f>IF('Personnel Yr 1'!$K$5&gt;4,IF(NOT(OR(ISBLANK('Personnel Yr 4'!I9),'Personnel Yr 4'!I9="")),(('Personnel Yr 4'!I9*'Personnel Yr 1'!$D$5)+'Personnel Yr 4'!I9),""),"")</f>
        <v/>
      </c>
      <c r="J9" s="17" t="str">
        <f>IF('Personnel Yr 1'!$K$5&gt;4,IF(AND(OR(ISBLANK(I9),I9=""),ISBLANK('Personnel Yr 4'!J9)),"",'Personnel Yr 4'!J9),"")</f>
        <v/>
      </c>
      <c r="K9" s="17" t="str">
        <f>IF('Personnel Yr 1'!$K$5&gt;4,IF(AND(OR(ISBLANK(J9),J9=""),ISBLANK('Personnel Yr 4'!K9)),"",'Personnel Yr 4'!K9),"")</f>
        <v/>
      </c>
      <c r="L9" s="17" t="str">
        <f>IF('Personnel Yr 1'!$K$5&gt;4,IF(AND(OR(ISBLANK(K9),K9=""),ISBLANK('Personnel Yr 4'!L9)),"",'Personnel Yr 4'!L9),"")</f>
        <v/>
      </c>
      <c r="M9" s="34" t="str">
        <f>IF('Personnel Yr 1'!$K$5&gt;4,IF(NOT(OR(ISBLANK(I9),I9="")), IF(OR(AND(ISBLANK(J9),ISBLANK(K9),ISBLANK(L9)),AND(J9="",K9="",L9="")),0, IF((AND((J9&gt;0),((K9+L9)&gt;0))),"Error", IF((J9&gt;0),ROUND((IF(AND('Personnel Yr 1'!$P$5&gt;0,I9&gt;'Personnel Yr 1'!$P$5),'Personnel Yr 1'!$P$5,I9)*(J9/12)),2),ROUND((IF(AND('Personnel Yr 1'!$P$5&gt;0,I9&gt;'Personnel Yr 1'!$P$5),'Personnel Yr 1'!$P$5,I9)*((K9+L9)/8.5)),2)))),""),"")</f>
        <v/>
      </c>
      <c r="N9" s="34" t="str">
        <f>IF('Personnel Yr 1'!$K$5&gt;4,IF(OR(ISBLANK(M9),M9=""),"",ROUND(SUM(U9:W9),2)),"")</f>
        <v/>
      </c>
      <c r="O9" s="41" t="str">
        <f>IF('Personnel Yr 1'!$K$5&gt;4,IF(OR(ISBLANK(N9),N9=""),"",ROUND(SUM(M9:N9),2)),"")</f>
        <v/>
      </c>
      <c r="P9" s="187"/>
      <c r="Q9" s="335">
        <f>IF('Personnel Yr 1'!$K$5&gt;4,IF(NOT(OR(ISBLANK(J9),J9="")),(I9/12)*J9,""),0)</f>
        <v>0</v>
      </c>
      <c r="R9" s="335">
        <f>IF('Personnel Yr 1'!$K$5&gt;4,IF(NOT(OR(ISBLANK(K9),K9="")),(I9/8.5)*K9,""),0)</f>
        <v>0</v>
      </c>
      <c r="S9" s="335">
        <f>IF('Personnel Yr 1'!$K$5&gt;4,IF(NOT(OR(ISBLANK(L9),L9="")),(I9/8.5)*L9,""),0)</f>
        <v>0</v>
      </c>
      <c r="U9" s="335">
        <f t="shared" si="0"/>
        <v>0</v>
      </c>
      <c r="V9" s="335">
        <f t="shared" si="1"/>
        <v>0</v>
      </c>
      <c r="W9" s="335">
        <f t="shared" si="2"/>
        <v>0</v>
      </c>
      <c r="Y9" s="335">
        <v>9</v>
      </c>
      <c r="Z9" s="335" t="b">
        <f>IF('Personnel Yr 1'!$K$5&gt;4,IF(OR($O$5&lt;&gt;"Federal - NIH",OR(AND(ISBLANK(J9),ISBLANK(K9),ISBLANK(L9)),AND(J9="",K9="",L9=""))),FALSE,IF(J9&gt;0,I9&gt;NIHSalaryCap,I9&gt;(NIHSalaryCap*8.5)/12)),FALSE)</f>
        <v>0</v>
      </c>
    </row>
    <row r="10" spans="1:26" x14ac:dyDescent="0.2">
      <c r="A10" s="4">
        <v>4</v>
      </c>
      <c r="B10" s="5" t="str">
        <f>IF('Personnel Yr 1'!$K$5&gt;4,IF(NOT(OR(ISBLANK('Personnel Yr 4'!B10),'Personnel Yr 4'!B10="")),'Personnel Yr 4'!B10,""),"")</f>
        <v/>
      </c>
      <c r="C10" s="17" t="str">
        <f>IF('Personnel Yr 1'!$K$5&gt;4,IF(ISBLANK('Personnel Yr 4'!C10),"",'Personnel Yr 4'!C10),"")</f>
        <v/>
      </c>
      <c r="D10" s="17" t="str">
        <f>IF('Personnel Yr 1'!$K$5&gt;4,IF(ISBLANK('Personnel Yr 4'!D10),"",'Personnel Yr 4'!D10),"")</f>
        <v/>
      </c>
      <c r="E10" s="17" t="str">
        <f>IF('Personnel Yr 1'!$K$5&gt;4,IF(ISBLANK('Personnel Yr 4'!E10),"",'Personnel Yr 4'!E10),"")</f>
        <v/>
      </c>
      <c r="F10" s="17" t="str">
        <f>IF('Personnel Yr 1'!$K$5&gt;4,IF(ISBLANK('Personnel Yr 4'!F10),"",'Personnel Yr 4'!F10),"")</f>
        <v/>
      </c>
      <c r="G10" s="17" t="str">
        <f>IF('Personnel Yr 1'!$K$5&gt;4,IF(ISBLANK('Personnel Yr 4'!G10),"",'Personnel Yr 4'!G10),"")</f>
        <v/>
      </c>
      <c r="H10" s="17" t="str">
        <f>IF('Personnel Yr 1'!$K$5&gt;4,IF(ISBLANK('Personnel Yr 4'!H10),"",'Personnel Yr 4'!H10),"")</f>
        <v/>
      </c>
      <c r="I10" s="32" t="str">
        <f>IF('Personnel Yr 1'!$K$5&gt;4,IF(NOT(OR(ISBLANK('Personnel Yr 4'!I10),'Personnel Yr 4'!I10="")),(('Personnel Yr 4'!I10*'Personnel Yr 1'!$D$5)+'Personnel Yr 4'!I10),""),"")</f>
        <v/>
      </c>
      <c r="J10" s="17" t="str">
        <f>IF('Personnel Yr 1'!$K$5&gt;4,IF(AND(OR(ISBLANK(I10),I10=""),ISBLANK('Personnel Yr 4'!J10)),"",'Personnel Yr 4'!J10),"")</f>
        <v/>
      </c>
      <c r="K10" s="17" t="str">
        <f>IF('Personnel Yr 1'!$K$5&gt;4,IF(AND(OR(ISBLANK(J10),J10=""),ISBLANK('Personnel Yr 4'!K10)),"",'Personnel Yr 4'!K10),"")</f>
        <v/>
      </c>
      <c r="L10" s="17" t="str">
        <f>IF('Personnel Yr 1'!$K$5&gt;4,IF(AND(OR(ISBLANK(K10),K10=""),ISBLANK('Personnel Yr 4'!L10)),"",'Personnel Yr 4'!L10),"")</f>
        <v/>
      </c>
      <c r="M10" s="34" t="str">
        <f>IF('Personnel Yr 1'!$K$5&gt;4,IF(NOT(OR(ISBLANK(I10),I10="")), IF(OR(AND(ISBLANK(J10),ISBLANK(K10),ISBLANK(L10)),AND(J10="",K10="",L10="")),0, IF((AND((J10&gt;0),((K10+L10)&gt;0))),"Error", IF((J10&gt;0),ROUND((IF(AND('Personnel Yr 1'!$P$5&gt;0,I10&gt;'Personnel Yr 1'!$P$5),'Personnel Yr 1'!$P$5,I10)*(J10/12)),2),ROUND((IF(AND('Personnel Yr 1'!$P$5&gt;0,I10&gt;'Personnel Yr 1'!$P$5),'Personnel Yr 1'!$P$5,I10)*((K10+L10)/8.5)),2)))),""),"")</f>
        <v/>
      </c>
      <c r="N10" s="34" t="str">
        <f>IF('Personnel Yr 1'!$K$5&gt;4,IF(OR(ISBLANK(M10),M10=""),"",ROUND(SUM(U10:W10),2)),"")</f>
        <v/>
      </c>
      <c r="O10" s="41" t="str">
        <f>IF('Personnel Yr 1'!$K$5&gt;4,IF(OR(ISBLANK(N10),N10=""),"",ROUND(SUM(M10:N10),2)),"")</f>
        <v/>
      </c>
      <c r="P10" s="188"/>
      <c r="Q10" s="335">
        <f>IF('Personnel Yr 1'!$K$5&gt;4,IF(NOT(OR(ISBLANK(J10),J10="")),(I10/12)*J10,""),0)</f>
        <v>0</v>
      </c>
      <c r="R10" s="335">
        <f>IF('Personnel Yr 1'!$K$5&gt;4,IF(NOT(OR(ISBLANK(K10),K10="")),(I10/8.5)*K10,""),0)</f>
        <v>0</v>
      </c>
      <c r="S10" s="335">
        <f>IF('Personnel Yr 1'!$K$5&gt;4,IF(NOT(OR(ISBLANK(L10),L10="")),(I10/8.5)*L10,""),0)</f>
        <v>0</v>
      </c>
      <c r="U10" s="335">
        <f t="shared" si="0"/>
        <v>0</v>
      </c>
      <c r="V10" s="335">
        <f t="shared" si="1"/>
        <v>0</v>
      </c>
      <c r="W10" s="335">
        <f t="shared" si="2"/>
        <v>0</v>
      </c>
      <c r="Y10" s="335">
        <v>10</v>
      </c>
      <c r="Z10" s="335" t="b">
        <f>IF('Personnel Yr 1'!$K$5&gt;4,IF(OR($O$5&lt;&gt;"Federal - NIH",OR(AND(ISBLANK(J10),ISBLANK(K10),ISBLANK(L10)),AND(J10="",K10="",L10=""))),FALSE,IF(J10&gt;0,I10&gt;NIHSalaryCap,I10&gt;(NIHSalaryCap*8.5)/12)),FALSE)</f>
        <v>0</v>
      </c>
    </row>
    <row r="11" spans="1:26" x14ac:dyDescent="0.2">
      <c r="A11" s="4">
        <v>5</v>
      </c>
      <c r="B11" s="5" t="str">
        <f>IF('Personnel Yr 1'!$K$5&gt;4,IF(NOT(OR(ISBLANK('Personnel Yr 4'!B11),'Personnel Yr 4'!B11="")),'Personnel Yr 4'!B11,""),"")</f>
        <v/>
      </c>
      <c r="C11" s="17" t="str">
        <f>IF('Personnel Yr 1'!$K$5&gt;4,IF(ISBLANK('Personnel Yr 4'!C11),"",'Personnel Yr 4'!C11),"")</f>
        <v/>
      </c>
      <c r="D11" s="17" t="str">
        <f>IF('Personnel Yr 1'!$K$5&gt;4,IF(ISBLANK('Personnel Yr 4'!D11),"",'Personnel Yr 4'!D11),"")</f>
        <v/>
      </c>
      <c r="E11" s="17" t="str">
        <f>IF('Personnel Yr 1'!$K$5&gt;4,IF(ISBLANK('Personnel Yr 4'!E11),"",'Personnel Yr 4'!E11),"")</f>
        <v/>
      </c>
      <c r="F11" s="17" t="str">
        <f>IF('Personnel Yr 1'!$K$5&gt;4,IF(ISBLANK('Personnel Yr 4'!F11),"",'Personnel Yr 4'!F11),"")</f>
        <v/>
      </c>
      <c r="G11" s="17" t="str">
        <f>IF('Personnel Yr 1'!$K$5&gt;4,IF(ISBLANK('Personnel Yr 4'!G11),"",'Personnel Yr 4'!G11),"")</f>
        <v/>
      </c>
      <c r="H11" s="17" t="str">
        <f>IF('Personnel Yr 1'!$K$5&gt;4,IF(ISBLANK('Personnel Yr 4'!H11),"",'Personnel Yr 4'!H11),"")</f>
        <v/>
      </c>
      <c r="I11" s="32" t="str">
        <f>IF('Personnel Yr 1'!$K$5&gt;4,IF(NOT(OR(ISBLANK('Personnel Yr 4'!I11),'Personnel Yr 4'!I11="")),(('Personnel Yr 4'!I11*'Personnel Yr 1'!$D$5)+'Personnel Yr 4'!I11),""),"")</f>
        <v/>
      </c>
      <c r="J11" s="17" t="str">
        <f>IF('Personnel Yr 1'!$K$5&gt;4,IF(AND(OR(ISBLANK(I11),I11=""),ISBLANK('Personnel Yr 4'!J11)),"",'Personnel Yr 4'!J11),"")</f>
        <v/>
      </c>
      <c r="K11" s="17" t="str">
        <f>IF('Personnel Yr 1'!$K$5&gt;4,IF(AND(OR(ISBLANK(J11),J11=""),ISBLANK('Personnel Yr 4'!K11)),"",'Personnel Yr 4'!K11),"")</f>
        <v/>
      </c>
      <c r="L11" s="17" t="str">
        <f>IF('Personnel Yr 1'!$K$5&gt;4,IF(AND(OR(ISBLANK(K11),K11=""),ISBLANK('Personnel Yr 4'!L11)),"",'Personnel Yr 4'!L11),"")</f>
        <v/>
      </c>
      <c r="M11" s="34" t="str">
        <f>IF('Personnel Yr 1'!$K$5&gt;4,IF(NOT(OR(ISBLANK(I11),I11="")), IF(OR(AND(ISBLANK(J11),ISBLANK(K11),ISBLANK(L11)),AND(J11="",K11="",L11="")),0, IF((AND((J11&gt;0),((K11+L11)&gt;0))),"Error", IF((J11&gt;0),ROUND((IF(AND('Personnel Yr 1'!$P$5&gt;0,I11&gt;'Personnel Yr 1'!$P$5),'Personnel Yr 1'!$P$5,I11)*(J11/12)),2),ROUND((IF(AND('Personnel Yr 1'!$P$5&gt;0,I11&gt;'Personnel Yr 1'!$P$5),'Personnel Yr 1'!$P$5,I11)*((K11+L11)/8.5)),2)))),""),"")</f>
        <v/>
      </c>
      <c r="N11" s="34" t="str">
        <f>IF('Personnel Yr 1'!$K$5&gt;4,IF(OR(ISBLANK(M11),M11=""),"",ROUND(SUM(U11:W11),2)),"")</f>
        <v/>
      </c>
      <c r="O11" s="41" t="str">
        <f>IF('Personnel Yr 1'!$K$5&gt;4,IF(OR(ISBLANK(N11),N11=""),"",ROUND(SUM(M11:N11),2)),"")</f>
        <v/>
      </c>
      <c r="P11" s="15"/>
      <c r="Q11" s="335">
        <f>IF('Personnel Yr 1'!$K$5&gt;4,IF(NOT(OR(ISBLANK(J11),J11="")),(I11/12)*J11,""),0)</f>
        <v>0</v>
      </c>
      <c r="R11" s="335">
        <f>IF('Personnel Yr 1'!$K$5&gt;4,IF(NOT(OR(ISBLANK(K11),K11="")),(I11/8.5)*K11,""),0)</f>
        <v>0</v>
      </c>
      <c r="S11" s="335">
        <f>IF('Personnel Yr 1'!$K$5&gt;4,IF(NOT(OR(ISBLANK(L11),L11="")),(I11/8.5)*L11,""),0)</f>
        <v>0</v>
      </c>
      <c r="U11" s="335">
        <f t="shared" si="0"/>
        <v>0</v>
      </c>
      <c r="V11" s="335">
        <f t="shared" si="1"/>
        <v>0</v>
      </c>
      <c r="W11" s="335">
        <f t="shared" si="2"/>
        <v>0</v>
      </c>
      <c r="Y11" s="335">
        <v>11</v>
      </c>
      <c r="Z11" s="335" t="b">
        <f>IF('Personnel Yr 1'!$K$5&gt;4,IF(OR($O$5&lt;&gt;"Federal - NIH",OR(AND(ISBLANK(J11),ISBLANK(K11),ISBLANK(L11)),AND(J11="",K11="",L11=""))),FALSE,IF(J11&gt;0,I11&gt;NIHSalaryCap,I11&gt;(NIHSalaryCap*8.5)/12)),FALSE)</f>
        <v>0</v>
      </c>
    </row>
    <row r="12" spans="1:26" x14ac:dyDescent="0.2">
      <c r="A12" s="4">
        <v>6</v>
      </c>
      <c r="B12" s="5" t="str">
        <f>IF('Personnel Yr 1'!$K$5&gt;4,IF(NOT(OR(ISBLANK('Personnel Yr 4'!B12),'Personnel Yr 4'!B12="")),'Personnel Yr 4'!B12,""),"")</f>
        <v/>
      </c>
      <c r="C12" s="17" t="str">
        <f>IF('Personnel Yr 1'!$K$5&gt;4,IF(ISBLANK('Personnel Yr 4'!C12),"",'Personnel Yr 4'!C12),"")</f>
        <v/>
      </c>
      <c r="D12" s="17" t="str">
        <f>IF('Personnel Yr 1'!$K$5&gt;4,IF(ISBLANK('Personnel Yr 4'!D12),"",'Personnel Yr 4'!D12),"")</f>
        <v/>
      </c>
      <c r="E12" s="17" t="str">
        <f>IF('Personnel Yr 1'!$K$5&gt;4,IF(ISBLANK('Personnel Yr 4'!E12),"",'Personnel Yr 4'!E12),"")</f>
        <v/>
      </c>
      <c r="F12" s="17" t="str">
        <f>IF('Personnel Yr 1'!$K$5&gt;4,IF(ISBLANK('Personnel Yr 4'!F12),"",'Personnel Yr 4'!F12),"")</f>
        <v/>
      </c>
      <c r="G12" s="17" t="str">
        <f>IF('Personnel Yr 1'!$K$5&gt;4,IF(ISBLANK('Personnel Yr 4'!G12),"",'Personnel Yr 4'!G12),"")</f>
        <v/>
      </c>
      <c r="H12" s="17" t="str">
        <f>IF('Personnel Yr 1'!$K$5&gt;4,IF(ISBLANK('Personnel Yr 4'!H12),"",'Personnel Yr 4'!H12),"")</f>
        <v/>
      </c>
      <c r="I12" s="32" t="str">
        <f>IF('Personnel Yr 1'!$K$5&gt;4,IF(NOT(OR(ISBLANK('Personnel Yr 4'!I12),'Personnel Yr 4'!I12="")),(('Personnel Yr 4'!I12*'Personnel Yr 1'!$D$5)+'Personnel Yr 4'!I12),""),"")</f>
        <v/>
      </c>
      <c r="J12" s="17" t="str">
        <f>IF('Personnel Yr 1'!$K$5&gt;4,IF(AND(OR(ISBLANK(I12),I12=""),ISBLANK('Personnel Yr 4'!J12)),"",'Personnel Yr 4'!J12),"")</f>
        <v/>
      </c>
      <c r="K12" s="17" t="str">
        <f>IF('Personnel Yr 1'!$K$5&gt;4,IF(AND(OR(ISBLANK(J12),J12=""),ISBLANK('Personnel Yr 4'!K12)),"",'Personnel Yr 4'!K12),"")</f>
        <v/>
      </c>
      <c r="L12" s="17" t="str">
        <f>IF('Personnel Yr 1'!$K$5&gt;4,IF(AND(OR(ISBLANK(K12),K12=""),ISBLANK('Personnel Yr 4'!L12)),"",'Personnel Yr 4'!L12),"")</f>
        <v/>
      </c>
      <c r="M12" s="34" t="str">
        <f>IF('Personnel Yr 1'!$K$5&gt;4,IF(NOT(OR(ISBLANK(I12),I12="")), IF(OR(AND(ISBLANK(J12),ISBLANK(K12),ISBLANK(L12)),AND(J12="",K12="",L12="")),0, IF((AND((J12&gt;0),((K12+L12)&gt;0))),"Error", IF((J12&gt;0),ROUND((IF(AND('Personnel Yr 1'!$P$5&gt;0,I12&gt;'Personnel Yr 1'!$P$5),'Personnel Yr 1'!$P$5,I12)*(J12/12)),2),ROUND((IF(AND('Personnel Yr 1'!$P$5&gt;0,I12&gt;'Personnel Yr 1'!$P$5),'Personnel Yr 1'!$P$5,I12)*((K12+L12)/8.5)),2)))),""),"")</f>
        <v/>
      </c>
      <c r="N12" s="34" t="str">
        <f>IF('Personnel Yr 1'!$K$5&gt;4,IF(OR(ISBLANK(M12),M12=""),"",ROUND(SUM(U12:W12),2)),"")</f>
        <v/>
      </c>
      <c r="O12" s="41" t="str">
        <f>IF('Personnel Yr 1'!$K$5&gt;4,IF(OR(ISBLANK(N12),N12=""),"",ROUND(SUM(M12:N12),2)),"")</f>
        <v/>
      </c>
      <c r="P12" s="15"/>
      <c r="Q12" s="335">
        <f>IF('Personnel Yr 1'!$K$5&gt;4,IF(NOT(OR(ISBLANK(J12),J12="")),(I12/12)*J12,""),0)</f>
        <v>0</v>
      </c>
      <c r="R12" s="335">
        <f>IF('Personnel Yr 1'!$K$5&gt;4,IF(NOT(OR(ISBLANK(K12),K12="")),(I12/8.5)*K12,""),0)</f>
        <v>0</v>
      </c>
      <c r="S12" s="335">
        <f>IF('Personnel Yr 1'!$K$5&gt;4,IF(NOT(OR(ISBLANK(L12),L12="")),(I12/8.5)*L12,""),0)</f>
        <v>0</v>
      </c>
      <c r="U12" s="335">
        <f t="shared" si="0"/>
        <v>0</v>
      </c>
      <c r="V12" s="335">
        <f t="shared" si="1"/>
        <v>0</v>
      </c>
      <c r="W12" s="335">
        <f t="shared" si="2"/>
        <v>0</v>
      </c>
      <c r="Y12" s="335">
        <v>12</v>
      </c>
      <c r="Z12" s="335" t="b">
        <f>IF('Personnel Yr 1'!$K$5&gt;4,IF(OR($O$5&lt;&gt;"Federal - NIH",OR(AND(ISBLANK(J12),ISBLANK(K12),ISBLANK(L12)),AND(J12="",K12="",L12=""))),FALSE,IF(J12&gt;0,I12&gt;NIHSalaryCap,I12&gt;(NIHSalaryCap*8.5)/12)),FALSE)</f>
        <v>0</v>
      </c>
    </row>
    <row r="13" spans="1:26" x14ac:dyDescent="0.2">
      <c r="A13" s="4">
        <v>7</v>
      </c>
      <c r="B13" s="5" t="str">
        <f>IF('Personnel Yr 1'!$K$5&gt;4,IF(NOT(OR(ISBLANK('Personnel Yr 4'!B13),'Personnel Yr 4'!B13="")),'Personnel Yr 4'!B13,""),"")</f>
        <v/>
      </c>
      <c r="C13" s="17" t="str">
        <f>IF('Personnel Yr 1'!$K$5&gt;4,IF(ISBLANK('Personnel Yr 4'!C13),"",'Personnel Yr 4'!C13),"")</f>
        <v/>
      </c>
      <c r="D13" s="17" t="str">
        <f>IF('Personnel Yr 1'!$K$5&gt;4,IF(ISBLANK('Personnel Yr 4'!D13),"",'Personnel Yr 4'!D13),"")</f>
        <v/>
      </c>
      <c r="E13" s="17" t="str">
        <f>IF('Personnel Yr 1'!$K$5&gt;4,IF(ISBLANK('Personnel Yr 4'!E13),"",'Personnel Yr 4'!E13),"")</f>
        <v/>
      </c>
      <c r="F13" s="17" t="str">
        <f>IF('Personnel Yr 1'!$K$5&gt;4,IF(ISBLANK('Personnel Yr 4'!F13),"",'Personnel Yr 4'!F13),"")</f>
        <v/>
      </c>
      <c r="G13" s="17" t="str">
        <f>IF('Personnel Yr 1'!$K$5&gt;4,IF(ISBLANK('Personnel Yr 4'!G13),"",'Personnel Yr 4'!G13),"")</f>
        <v/>
      </c>
      <c r="H13" s="17" t="str">
        <f>IF('Personnel Yr 1'!$K$5&gt;4,IF(ISBLANK('Personnel Yr 4'!H13),"",'Personnel Yr 4'!H13),"")</f>
        <v/>
      </c>
      <c r="I13" s="32" t="str">
        <f>IF('Personnel Yr 1'!$K$5&gt;4,IF(NOT(OR(ISBLANK('Personnel Yr 4'!I13),'Personnel Yr 4'!I13="")),(('Personnel Yr 4'!I13*'Personnel Yr 1'!$D$5)+'Personnel Yr 4'!I13),""),"")</f>
        <v/>
      </c>
      <c r="J13" s="17" t="str">
        <f>IF('Personnel Yr 1'!$K$5&gt;4,IF(AND(OR(ISBLANK(I13),I13=""),ISBLANK('Personnel Yr 4'!J13)),"",'Personnel Yr 4'!J13),"")</f>
        <v/>
      </c>
      <c r="K13" s="17" t="str">
        <f>IF('Personnel Yr 1'!$K$5&gt;4,IF(AND(OR(ISBLANK(J13),J13=""),ISBLANK('Personnel Yr 4'!K13)),"",'Personnel Yr 4'!K13),"")</f>
        <v/>
      </c>
      <c r="L13" s="17" t="str">
        <f>IF('Personnel Yr 1'!$K$5&gt;4,IF(AND(OR(ISBLANK(K13),K13=""),ISBLANK('Personnel Yr 4'!L13)),"",'Personnel Yr 4'!L13),"")</f>
        <v/>
      </c>
      <c r="M13" s="34" t="str">
        <f>IF('Personnel Yr 1'!$K$5&gt;4,IF(NOT(OR(ISBLANK(I13),I13="")), IF(OR(AND(ISBLANK(J13),ISBLANK(K13),ISBLANK(L13)),AND(J13="",K13="",L13="")),0, IF((AND((J13&gt;0),((K13+L13)&gt;0))),"Error", IF((J13&gt;0),ROUND((IF(AND('Personnel Yr 1'!$P$5&gt;0,I13&gt;'Personnel Yr 1'!$P$5),'Personnel Yr 1'!$P$5,I13)*(J13/12)),2),ROUND((IF(AND('Personnel Yr 1'!$P$5&gt;0,I13&gt;'Personnel Yr 1'!$P$5),'Personnel Yr 1'!$P$5,I13)*((K13+L13)/8.5)),2)))),""),"")</f>
        <v/>
      </c>
      <c r="N13" s="34" t="str">
        <f>IF('Personnel Yr 1'!$K$5&gt;4,IF(OR(ISBLANK(M13),M13=""),"",ROUND(SUM(U13:W13),2)),"")</f>
        <v/>
      </c>
      <c r="O13" s="41" t="str">
        <f>IF('Personnel Yr 1'!$K$5&gt;4,IF(OR(ISBLANK(N13),N13=""),"",ROUND(SUM(M13:N13),2)),"")</f>
        <v/>
      </c>
      <c r="P13" s="187"/>
      <c r="Q13" s="335">
        <f>IF('Personnel Yr 1'!$K$5&gt;4,IF(NOT(OR(ISBLANK(J13),J13="")),(I13/12)*J13,""),0)</f>
        <v>0</v>
      </c>
      <c r="R13" s="335">
        <f>IF('Personnel Yr 1'!$K$5&gt;4,IF(NOT(OR(ISBLANK(K13),K13="")),(I13/8.5)*K13,""),0)</f>
        <v>0</v>
      </c>
      <c r="S13" s="335">
        <f>IF('Personnel Yr 1'!$K$5&gt;4,IF(NOT(OR(ISBLANK(L13),L13="")),(I13/8.5)*L13,""),0)</f>
        <v>0</v>
      </c>
      <c r="U13" s="335">
        <f t="shared" si="0"/>
        <v>0</v>
      </c>
      <c r="V13" s="335">
        <f t="shared" si="1"/>
        <v>0</v>
      </c>
      <c r="W13" s="335">
        <f t="shared" si="2"/>
        <v>0</v>
      </c>
      <c r="Y13" s="335">
        <v>13</v>
      </c>
      <c r="Z13" s="335" t="b">
        <f>IF('Personnel Yr 1'!$K$5&gt;4,IF(OR($O$5&lt;&gt;"Federal - NIH",OR(AND(ISBLANK(J13),ISBLANK(K13),ISBLANK(L13)),AND(J13="",K13="",L13=""))),FALSE,IF(J13&gt;0,I13&gt;NIHSalaryCap,I13&gt;(NIHSalaryCap*8.5)/12)),FALSE)</f>
        <v>0</v>
      </c>
    </row>
    <row r="14" spans="1:26" ht="13.5" thickBot="1" x14ac:dyDescent="0.25">
      <c r="A14" s="4">
        <v>8</v>
      </c>
      <c r="B14" s="6" t="str">
        <f>IF('Personnel Yr 1'!$K$5&gt;4,IF(NOT(OR(ISBLANK('Personnel Yr 4'!B14),'Personnel Yr 4'!B14="")),'Personnel Yr 4'!B14,""),"")</f>
        <v/>
      </c>
      <c r="C14" s="22" t="str">
        <f>IF('Personnel Yr 1'!$K$5&gt;4,IF(ISBLANK('Personnel Yr 4'!C14),"",'Personnel Yr 4'!C14),"")</f>
        <v/>
      </c>
      <c r="D14" s="22" t="str">
        <f>IF('Personnel Yr 1'!$K$5&gt;4,IF(ISBLANK('Personnel Yr 4'!D14),"",'Personnel Yr 4'!D14),"")</f>
        <v/>
      </c>
      <c r="E14" s="22" t="str">
        <f>IF('Personnel Yr 1'!$K$5&gt;4,IF(ISBLANK('Personnel Yr 4'!E14),"",'Personnel Yr 4'!E14),"")</f>
        <v/>
      </c>
      <c r="F14" s="22" t="str">
        <f>IF('Personnel Yr 1'!$K$5&gt;4,IF(ISBLANK('Personnel Yr 4'!F14),"",'Personnel Yr 4'!F14),"")</f>
        <v/>
      </c>
      <c r="G14" s="22" t="str">
        <f>IF('Personnel Yr 1'!$K$5&gt;4,IF(ISBLANK('Personnel Yr 4'!G14),"",'Personnel Yr 4'!G14),"")</f>
        <v/>
      </c>
      <c r="H14" s="22" t="str">
        <f>IF('Personnel Yr 1'!$K$5&gt;4,IF(ISBLANK('Personnel Yr 4'!H14),"",'Personnel Yr 4'!H14),"")</f>
        <v/>
      </c>
      <c r="I14" s="33" t="str">
        <f>IF('Personnel Yr 1'!$K$5&gt;4,IF(NOT(OR(ISBLANK('Personnel Yr 4'!I14),'Personnel Yr 4'!I14="")),(('Personnel Yr 4'!I14*'Personnel Yr 1'!$D$5)+'Personnel Yr 4'!I14),""),"")</f>
        <v/>
      </c>
      <c r="J14" s="22" t="str">
        <f>IF('Personnel Yr 1'!$K$5&gt;4,IF(AND(OR(ISBLANK(I14),I14=""),ISBLANK('Personnel Yr 4'!J14)),"",'Personnel Yr 4'!J14),"")</f>
        <v/>
      </c>
      <c r="K14" s="22" t="str">
        <f>IF('Personnel Yr 1'!$K$5&gt;4,IF(AND(OR(ISBLANK(J14),J14=""),ISBLANK('Personnel Yr 4'!K14)),"",'Personnel Yr 4'!K14),"")</f>
        <v/>
      </c>
      <c r="L14" s="22" t="str">
        <f>IF('Personnel Yr 1'!$K$5&gt;4,IF(AND(OR(ISBLANK(K14),K14=""),ISBLANK('Personnel Yr 4'!L14)),"",'Personnel Yr 4'!L14),"")</f>
        <v/>
      </c>
      <c r="M14" s="42" t="str">
        <f>IF('Personnel Yr 1'!$K$5&gt;4,IF(NOT(OR(ISBLANK(I14),I14="")), IF(OR(AND(ISBLANK(J14),ISBLANK(K14),ISBLANK(L14)),AND(J14="",K14="",L14="")),0, IF((AND((J14&gt;0),((K14+L14)&gt;0))),"Error", IF((J14&gt;0),ROUND((IF(AND('Personnel Yr 1'!$P$5&gt;0,I14&gt;'Personnel Yr 1'!$P$5),'Personnel Yr 1'!$P$5,I14)*(J14/12)),2),ROUND((IF(AND('Personnel Yr 1'!$P$5&gt;0,I14&gt;'Personnel Yr 1'!$P$5),'Personnel Yr 1'!$P$5,I14)*((K14+L14)/8.5)),2)))),""),"")</f>
        <v/>
      </c>
      <c r="N14" s="39" t="str">
        <f>IF('Personnel Yr 1'!$K$5&gt;4,IF(OR(ISBLANK(M14),M14=""),"",ROUND(SUM(U14:W14),2)),"")</f>
        <v/>
      </c>
      <c r="O14" s="40" t="str">
        <f>IF('Personnel Yr 1'!$K$5&gt;4,IF(OR(ISBLANK(N14),N14=""),"",ROUND(SUM(M14:N14),2)),"")</f>
        <v/>
      </c>
      <c r="P14" s="189"/>
      <c r="Q14" s="335">
        <f>IF('Personnel Yr 1'!$K$5&gt;4,IF(NOT(OR(ISBLANK(J14),J14="")),(I14/12)*J14,""),0)</f>
        <v>0</v>
      </c>
      <c r="R14" s="335">
        <f>IF('Personnel Yr 1'!$K$5&gt;4,IF(NOT(OR(ISBLANK(K14),K14="")),(I14/8.5)*K14,""),0)</f>
        <v>0</v>
      </c>
      <c r="S14" s="335">
        <f>IF('Personnel Yr 1'!$K$5&gt;4,IF(NOT(OR(ISBLANK(L14),L14="")),(I14/8.5)*L14,""),0)</f>
        <v>0</v>
      </c>
      <c r="U14" s="335">
        <f t="shared" si="0"/>
        <v>0</v>
      </c>
      <c r="V14" s="335">
        <f t="shared" si="1"/>
        <v>0</v>
      </c>
      <c r="W14" s="335">
        <f t="shared" si="2"/>
        <v>0</v>
      </c>
      <c r="Y14" s="335">
        <v>14</v>
      </c>
      <c r="Z14" s="335" t="b">
        <f>IF('Personnel Yr 1'!$K$5&gt;4,IF(OR($O$5&lt;&gt;"Federal - NIH",OR(AND(ISBLANK(J14),ISBLANK(K14),ISBLANK(L14)),AND(J14="",K14="",L14=""))),FALSE,IF(J14&gt;0,I14&gt;NIHSalaryCap,I14&gt;(NIHSalaryCap*8.5)/12)),FALSE)</f>
        <v>0</v>
      </c>
    </row>
    <row r="15" spans="1:26" ht="13.5" thickBot="1" x14ac:dyDescent="0.25">
      <c r="A15" s="4">
        <v>9</v>
      </c>
      <c r="B15" s="20">
        <f>B35</f>
        <v>0</v>
      </c>
      <c r="C15" s="540" t="s">
        <v>49</v>
      </c>
      <c r="D15" s="540"/>
      <c r="E15" s="540"/>
      <c r="F15" s="540"/>
      <c r="G15" s="543" t="s">
        <v>59</v>
      </c>
      <c r="H15" s="513"/>
      <c r="I15" s="543"/>
      <c r="J15" s="543"/>
      <c r="K15" s="543"/>
      <c r="L15" s="543"/>
      <c r="M15" s="543"/>
      <c r="N15" s="544"/>
      <c r="O15" s="45">
        <f>O35</f>
        <v>0</v>
      </c>
      <c r="Q15" s="335">
        <f t="shared" ref="Q15:W15" si="3">SUM(Q7:Q14)</f>
        <v>0</v>
      </c>
      <c r="R15" s="335">
        <f t="shared" si="3"/>
        <v>0</v>
      </c>
      <c r="S15" s="335">
        <f t="shared" si="3"/>
        <v>0</v>
      </c>
      <c r="U15" s="335">
        <f t="shared" si="3"/>
        <v>0</v>
      </c>
      <c r="V15" s="335">
        <f t="shared" si="3"/>
        <v>0</v>
      </c>
      <c r="W15" s="335">
        <f t="shared" si="3"/>
        <v>0</v>
      </c>
    </row>
    <row r="16" spans="1:26" ht="13.5" thickBot="1" x14ac:dyDescent="0.25">
      <c r="B16" s="20">
        <f>SUM(ROWS(E7:E14)-COUNTIF(E7:E14,""),B15)</f>
        <v>0</v>
      </c>
      <c r="C16" s="515" t="s">
        <v>48</v>
      </c>
      <c r="D16" s="516"/>
      <c r="E16" s="516"/>
      <c r="F16" s="516"/>
      <c r="I16" s="8"/>
      <c r="J16" s="8"/>
      <c r="K16" s="513" t="s">
        <v>31</v>
      </c>
      <c r="L16" s="513"/>
      <c r="M16" s="513"/>
      <c r="N16" s="514"/>
      <c r="O16" s="38">
        <f>SUM(O7:O15)</f>
        <v>0</v>
      </c>
    </row>
    <row r="17" spans="1:26" x14ac:dyDescent="0.2">
      <c r="I17" s="8"/>
      <c r="J17" s="8"/>
      <c r="K17" s="9"/>
      <c r="L17" s="9"/>
      <c r="M17" s="9"/>
      <c r="N17" s="9"/>
      <c r="O17" s="8"/>
    </row>
    <row r="18" spans="1:26" x14ac:dyDescent="0.2">
      <c r="B18" s="498" t="s">
        <v>232</v>
      </c>
      <c r="C18" s="498"/>
      <c r="D18" s="498"/>
    </row>
    <row r="19" spans="1:26" ht="26.25" thickBot="1" x14ac:dyDescent="0.25">
      <c r="B19" s="2" t="s">
        <v>0</v>
      </c>
      <c r="C19" s="2" t="s">
        <v>1</v>
      </c>
      <c r="D19" s="2" t="s">
        <v>2</v>
      </c>
      <c r="E19" s="2" t="s">
        <v>3</v>
      </c>
      <c r="F19" s="2" t="s">
        <v>4</v>
      </c>
      <c r="G19" s="2" t="s">
        <v>39</v>
      </c>
      <c r="H19" s="2" t="s">
        <v>532</v>
      </c>
      <c r="I19" s="2" t="s">
        <v>40</v>
      </c>
      <c r="J19" s="2" t="s">
        <v>56</v>
      </c>
      <c r="K19" s="2" t="s">
        <v>57</v>
      </c>
      <c r="L19" s="2" t="s">
        <v>58</v>
      </c>
      <c r="M19" s="3" t="s">
        <v>41</v>
      </c>
      <c r="N19" s="2" t="s">
        <v>42</v>
      </c>
      <c r="O19" s="2" t="s">
        <v>38</v>
      </c>
      <c r="P19" s="2" t="s">
        <v>224</v>
      </c>
      <c r="Q19" s="334" t="s">
        <v>62</v>
      </c>
      <c r="R19" s="334" t="s">
        <v>63</v>
      </c>
      <c r="S19" s="334" t="s">
        <v>64</v>
      </c>
      <c r="U19" s="334" t="s">
        <v>62</v>
      </c>
      <c r="V19" s="334" t="s">
        <v>63</v>
      </c>
      <c r="W19" s="334" t="s">
        <v>64</v>
      </c>
      <c r="Z19" s="335" t="s">
        <v>449</v>
      </c>
    </row>
    <row r="20" spans="1:26" x14ac:dyDescent="0.2">
      <c r="A20" s="4">
        <v>1</v>
      </c>
      <c r="B20" s="21" t="str">
        <f>IF('Personnel Yr 1'!$K$5&gt;4,IF(NOT(OR(ISBLANK('Personnel Yr 4'!B20),'Personnel Yr 4'!B20="")),'Personnel Yr 4'!B20,""),"")</f>
        <v/>
      </c>
      <c r="C20" s="13" t="str">
        <f>IF('Personnel Yr 1'!$K$5&gt;4,IF(ISBLANK('Personnel Yr 4'!C20),"",'Personnel Yr 4'!C20),"")</f>
        <v/>
      </c>
      <c r="D20" s="13" t="str">
        <f>IF('Personnel Yr 1'!$K$5&gt;4,IF(ISBLANK('Personnel Yr 4'!D20),"",'Personnel Yr 4'!D20),"")</f>
        <v/>
      </c>
      <c r="E20" s="209" t="str">
        <f>IF('Personnel Yr 1'!$K$5&gt;4,IF(ISBLANK('Personnel Yr 4'!E20),"",'Personnel Yr 4'!E20),"")</f>
        <v/>
      </c>
      <c r="F20" s="13" t="str">
        <f>IF('Personnel Yr 1'!$K$5&gt;4,IF(ISBLANK('Personnel Yr 4'!F20),"",'Personnel Yr 4'!F20),"")</f>
        <v/>
      </c>
      <c r="G20" s="203" t="str">
        <f>IF('Personnel Yr 1'!$K$5&gt;4,IF(ISBLANK('Personnel Yr 4'!G20),"",'Personnel Yr 4'!G20),"")</f>
        <v/>
      </c>
      <c r="H20" s="13" t="str">
        <f>IF('Personnel Yr 1'!$K$5&gt;4,IF(ISBLANK('Personnel Yr 4'!H20),"",'Personnel Yr 4'!H20),"")</f>
        <v/>
      </c>
      <c r="I20" s="204" t="str">
        <f>IF('Personnel Yr 1'!$K$5&gt;4,IF(NOT(OR(ISBLANK('Personnel Yr 4'!I20),'Personnel Yr 4'!I20="")),(('Personnel Yr 4'!I20*'Personnel Yr 1'!$D$5)+'Personnel Yr 4'!I20),""),"")</f>
        <v/>
      </c>
      <c r="J20" s="13" t="str">
        <f>IF('Personnel Yr 1'!$K$5&gt;4,IF(AND(OR(ISBLANK(I20),I20=""),ISBLANK('Personnel Yr 4'!J20)),"",'Personnel Yr 4'!J20),"")</f>
        <v/>
      </c>
      <c r="K20" s="13" t="str">
        <f>IF('Personnel Yr 1'!$K$5&gt;4,IF(AND(OR(ISBLANK(J20),J20=""),ISBLANK('Personnel Yr 4'!K20)),"",'Personnel Yr 4'!K20),"")</f>
        <v/>
      </c>
      <c r="L20" s="13" t="str">
        <f>IF('Personnel Yr 1'!$K$5&gt;4,IF(AND(OR(ISBLANK(K20),K20=""),ISBLANK('Personnel Yr 4'!L20)),"",'Personnel Yr 4'!L20),"")</f>
        <v/>
      </c>
      <c r="M20" s="35" t="str">
        <f>IF('Personnel Yr 1'!$K$5&gt;4,IF(NOT(OR(ISBLANK(I20),I20="")), IF(OR(AND(ISBLANK(J20),ISBLANK(K20),ISBLANK(L20)),AND(J20="",K20="",L20="")),0, IF((AND((J20&gt;0),((K20+L20)&gt;0))),"Error", IF((J20&gt;0),ROUND((IF(AND('Personnel Yr 1'!$P$5&gt;0,I20&gt;'Personnel Yr 1'!$P$5),'Personnel Yr 1'!$P$5,I20)*(J20/12)),2),ROUND((IF(AND('Personnel Yr 1'!$P$5&gt;0,I20&gt;'Personnel Yr 1'!$P$5),'Personnel Yr 1'!$P$5,I20)*((K20+L20)/8.5)),2)))),""),"")</f>
        <v/>
      </c>
      <c r="N20" s="35" t="str">
        <f>IF('Personnel Yr 1'!$K$5&gt;4,IF(OR(ISBLANK(M20),M20=""),"",ROUND(SUM(U20:W20),2)),"")</f>
        <v/>
      </c>
      <c r="O20" s="36" t="str">
        <f>IF('Personnel Yr 1'!$K$5&gt;4,IF(OR(ISBLANK(N20),N20=""),"",ROUND(SUM(M20:N20),2)),"")</f>
        <v/>
      </c>
      <c r="P20" s="12"/>
      <c r="Q20" s="335">
        <f>IF('Personnel Yr 1'!$K$5&gt;4,IF(NOT(OR(ISBLANK(J20),J20="")),(I20/12)*J20,""),0)</f>
        <v>0</v>
      </c>
      <c r="R20" s="336">
        <f>IF('Personnel Yr 1'!$K$5&gt;4,IF(NOT(OR(ISBLANK(K20),K20="")),(I20/8.5)*K20,""),0)</f>
        <v>0</v>
      </c>
      <c r="S20" s="335">
        <f>IF('Personnel Yr 1'!$K$5&gt;4,IF(NOT(OR(ISBLANK(L20),L20="")),(I20/8.5)*L20,""),0)</f>
        <v>0</v>
      </c>
      <c r="U20" s="335">
        <f t="shared" ref="U20:U34" si="4">IF(OR(ISBLANK(Q20),Q20=""),0,Q20*_xlfn.XLOOKUP("*"&amp;H20&amp;"*",BenB,Per,,2))</f>
        <v>0</v>
      </c>
      <c r="V20" s="335">
        <f t="shared" ref="V20:V34" si="5">IF(OR(ISBLANK(R20),R20=""),0,R20*_xlfn.XLOOKUP("*"&amp;H20&amp;"*",BenB,Per,,2))</f>
        <v>0</v>
      </c>
      <c r="W20" s="335">
        <f t="shared" ref="W20:W34" si="6">IF(OR(ISBLANK(S20),S20=""),0,S20*_xlfn.XLOOKUP("Summer",Ben,Per))</f>
        <v>0</v>
      </c>
      <c r="Y20" s="335">
        <v>20</v>
      </c>
      <c r="Z20" s="335" t="b">
        <f>IF('Personnel Yr 1'!$K$5&gt;4,IF(OR($O$5&lt;&gt;"Federal - NIH",OR(AND(ISBLANK(J20),ISBLANK(K20),ISBLANK(L20)),AND(J20="",K20="",L20=""))),FALSE,IF(J20&gt;0,I20&gt;NIHSalaryCap,I20&gt;(NIHSalaryCap*8.5)/12)),FALSE)</f>
        <v>0</v>
      </c>
    </row>
    <row r="21" spans="1:26" x14ac:dyDescent="0.2">
      <c r="A21" s="4">
        <v>2</v>
      </c>
      <c r="B21" s="5" t="str">
        <f>IF('Personnel Yr 1'!$K$5&gt;4,IF(NOT(OR(ISBLANK('Personnel Yr 4'!B21),'Personnel Yr 4'!B21="")),'Personnel Yr 4'!B21,""),"")</f>
        <v/>
      </c>
      <c r="C21" s="17" t="str">
        <f>IF('Personnel Yr 1'!$K$5&gt;4,IF(ISBLANK('Personnel Yr 4'!C21),"",'Personnel Yr 4'!C21),"")</f>
        <v/>
      </c>
      <c r="D21" s="17" t="str">
        <f>IF('Personnel Yr 1'!$K$5&gt;4,IF(ISBLANK('Personnel Yr 4'!D21),"",'Personnel Yr 4'!D21),"")</f>
        <v/>
      </c>
      <c r="E21" s="17" t="str">
        <f>IF('Personnel Yr 1'!$K$5&gt;4,IF(ISBLANK('Personnel Yr 4'!E21),"",'Personnel Yr 4'!E21),"")</f>
        <v/>
      </c>
      <c r="F21" s="17" t="str">
        <f>IF('Personnel Yr 1'!$K$5&gt;4,IF(ISBLANK('Personnel Yr 4'!F21),"",'Personnel Yr 4'!F21),"")</f>
        <v/>
      </c>
      <c r="G21" s="17" t="str">
        <f>IF('Personnel Yr 1'!$K$5&gt;4,IF(ISBLANK('Personnel Yr 4'!G21),"",'Personnel Yr 4'!G21),"")</f>
        <v/>
      </c>
      <c r="H21" s="17" t="str">
        <f>IF('Personnel Yr 1'!$K$5&gt;4,IF(ISBLANK('Personnel Yr 4'!H21),"",'Personnel Yr 4'!H21),"")</f>
        <v/>
      </c>
      <c r="I21" s="32" t="str">
        <f>IF('Personnel Yr 1'!$K$5&gt;4,IF(NOT(OR(ISBLANK('Personnel Yr 4'!I21),'Personnel Yr 4'!I21="")),(('Personnel Yr 4'!I21*'Personnel Yr 1'!$D$5)+'Personnel Yr 4'!I21),""),"")</f>
        <v/>
      </c>
      <c r="J21" s="17" t="str">
        <f>IF('Personnel Yr 1'!$K$5&gt;4,IF(AND(OR(ISBLANK(I21),I21=""),ISBLANK('Personnel Yr 4'!J21)),"",'Personnel Yr 4'!J21),"")</f>
        <v/>
      </c>
      <c r="K21" s="17" t="str">
        <f>IF('Personnel Yr 1'!$K$5&gt;4,IF(AND(OR(ISBLANK(J21),J21=""),ISBLANK('Personnel Yr 4'!K21)),"",'Personnel Yr 4'!K21),"")</f>
        <v/>
      </c>
      <c r="L21" s="17" t="str">
        <f>IF('Personnel Yr 1'!$K$5&gt;4,IF(AND(OR(ISBLANK(K21),K21=""),ISBLANK('Personnel Yr 4'!L21)),"",'Personnel Yr 4'!L21),"")</f>
        <v/>
      </c>
      <c r="M21" s="34" t="str">
        <f>IF('Personnel Yr 1'!$K$5&gt;4,IF(NOT(OR(ISBLANK(I21),I21="")), IF(OR(AND(ISBLANK(J21),ISBLANK(K21),ISBLANK(L21)),AND(J21="",K21="",L21="")),0, IF((AND((J21&gt;0),((K21+L21)&gt;0))),"Error", IF((J21&gt;0),ROUND((IF(AND('Personnel Yr 1'!$P$5&gt;0,I21&gt;'Personnel Yr 1'!$P$5),'Personnel Yr 1'!$P$5,I21)*(J21/12)),2),ROUND((IF(AND('Personnel Yr 1'!$P$5&gt;0,I21&gt;'Personnel Yr 1'!$P$5),'Personnel Yr 1'!$P$5,I21)*((K21+L21)/8.5)),2)))),""),"")</f>
        <v/>
      </c>
      <c r="N21" s="34" t="str">
        <f>IF('Personnel Yr 1'!$K$5&gt;4,IF(OR(ISBLANK(M21),M21=""),"",ROUND(SUM(U21:W21),2)),"")</f>
        <v/>
      </c>
      <c r="O21" s="41" t="str">
        <f>IF('Personnel Yr 1'!$K$5&gt;4,IF(OR(ISBLANK(N21),N21=""),"",ROUND(SUM(M21:N21),2)),"")</f>
        <v/>
      </c>
      <c r="P21" s="187"/>
      <c r="Q21" s="335">
        <f>IF('Personnel Yr 1'!$K$5&gt;4,IF(NOT(OR(ISBLANK(J21),J21="")),(I21/12)*J21,""),0)</f>
        <v>0</v>
      </c>
      <c r="R21" s="336">
        <f>IF('Personnel Yr 1'!$K$5&gt;4,IF(NOT(OR(ISBLANK(K21),K21="")),(I21/8.5)*K21,""),0)</f>
        <v>0</v>
      </c>
      <c r="S21" s="335">
        <f>IF('Personnel Yr 1'!$K$5&gt;4,IF(NOT(OR(ISBLANK(L21),L21="")),(I21/8.5)*L21,""),0)</f>
        <v>0</v>
      </c>
      <c r="U21" s="335">
        <f t="shared" si="4"/>
        <v>0</v>
      </c>
      <c r="V21" s="335">
        <f t="shared" si="5"/>
        <v>0</v>
      </c>
      <c r="W21" s="335">
        <f t="shared" si="6"/>
        <v>0</v>
      </c>
      <c r="Y21" s="335">
        <v>21</v>
      </c>
      <c r="Z21" s="335" t="b">
        <f>IF('Personnel Yr 1'!$K$5&gt;4,IF(OR($O$5&lt;&gt;"Federal - NIH",OR(AND(ISBLANK(J21),ISBLANK(K21),ISBLANK(L21)),AND(J21="",K21="",L21=""))),FALSE,IF(J21&gt;0,I21&gt;NIHSalaryCap,I21&gt;(NIHSalaryCap*8.5)/12)),FALSE)</f>
        <v>0</v>
      </c>
    </row>
    <row r="22" spans="1:26" x14ac:dyDescent="0.2">
      <c r="A22" s="4">
        <v>3</v>
      </c>
      <c r="B22" s="5" t="str">
        <f>IF('Personnel Yr 1'!$K$5&gt;4,IF(NOT(OR(ISBLANK('Personnel Yr 4'!B22),'Personnel Yr 4'!B22="")),'Personnel Yr 4'!B22,""),"")</f>
        <v/>
      </c>
      <c r="C22" s="17" t="str">
        <f>IF('Personnel Yr 1'!$K$5&gt;4,IF(ISBLANK('Personnel Yr 4'!C22),"",'Personnel Yr 4'!C22),"")</f>
        <v/>
      </c>
      <c r="D22" s="17" t="str">
        <f>IF('Personnel Yr 1'!$K$5&gt;4,IF(ISBLANK('Personnel Yr 4'!D22),"",'Personnel Yr 4'!D22),"")</f>
        <v/>
      </c>
      <c r="E22" s="17" t="str">
        <f>IF('Personnel Yr 1'!$K$5&gt;4,IF(ISBLANK('Personnel Yr 4'!E22),"",'Personnel Yr 4'!E22),"")</f>
        <v/>
      </c>
      <c r="F22" s="17" t="str">
        <f>IF('Personnel Yr 1'!$K$5&gt;4,IF(ISBLANK('Personnel Yr 4'!F22),"",'Personnel Yr 4'!F22),"")</f>
        <v/>
      </c>
      <c r="G22" s="55" t="str">
        <f>IF('Personnel Yr 1'!$K$5&gt;4,IF(ISBLANK('Personnel Yr 4'!G22),"",'Personnel Yr 4'!G22),"")</f>
        <v/>
      </c>
      <c r="H22" s="17" t="str">
        <f>IF('Personnel Yr 1'!$K$5&gt;4,IF(ISBLANK('Personnel Yr 4'!H22),"",'Personnel Yr 4'!H22),"")</f>
        <v/>
      </c>
      <c r="I22" s="32" t="str">
        <f>IF('Personnel Yr 1'!$K$5&gt;4,IF(NOT(OR(ISBLANK('Personnel Yr 4'!I22),'Personnel Yr 4'!I22="")),(('Personnel Yr 4'!I22*'Personnel Yr 1'!$D$5)+'Personnel Yr 4'!I22),""),"")</f>
        <v/>
      </c>
      <c r="J22" s="17" t="str">
        <f>IF('Personnel Yr 1'!$K$5&gt;4,IF(AND(OR(ISBLANK(I22),I22=""),ISBLANK('Personnel Yr 4'!J22)),"",'Personnel Yr 4'!J22),"")</f>
        <v/>
      </c>
      <c r="K22" s="17" t="str">
        <f>IF('Personnel Yr 1'!$K$5&gt;4,IF(AND(OR(ISBLANK(J22),J22=""),ISBLANK('Personnel Yr 4'!K22)),"",'Personnel Yr 4'!K22),"")</f>
        <v/>
      </c>
      <c r="L22" s="17" t="str">
        <f>IF('Personnel Yr 1'!$K$5&gt;4,IF(AND(OR(ISBLANK(K22),K22=""),ISBLANK('Personnel Yr 4'!L22)),"",'Personnel Yr 4'!L22),"")</f>
        <v/>
      </c>
      <c r="M22" s="34" t="str">
        <f>IF('Personnel Yr 1'!$K$5&gt;4,IF(NOT(OR(ISBLANK(I22),I22="")), IF(OR(AND(ISBLANK(J22),ISBLANK(K22),ISBLANK(L22)),AND(J22="",K22="",L22="")),0, IF((AND((J22&gt;0),((K22+L22)&gt;0))),"Error", IF((J22&gt;0),ROUND((IF(AND('Personnel Yr 1'!$P$5&gt;0,I22&gt;'Personnel Yr 1'!$P$5),'Personnel Yr 1'!$P$5,I22)*(J22/12)),2),ROUND((IF(AND('Personnel Yr 1'!$P$5&gt;0,I22&gt;'Personnel Yr 1'!$P$5),'Personnel Yr 1'!$P$5,I22)*((K22+L22)/8.5)),2)))),""),"")</f>
        <v/>
      </c>
      <c r="N22" s="34" t="str">
        <f>IF('Personnel Yr 1'!$K$5&gt;4,IF(OR(ISBLANK(M22),M22=""),"",ROUND(SUM(U22:W22),2)),"")</f>
        <v/>
      </c>
      <c r="O22" s="41" t="str">
        <f>IF('Personnel Yr 1'!$K$5&gt;4,IF(OR(ISBLANK(N22),N22=""),"",ROUND(SUM(M22:N22),2)),"")</f>
        <v/>
      </c>
      <c r="P22" s="188"/>
      <c r="Q22" s="335">
        <f>IF('Personnel Yr 1'!$K$5&gt;4,IF(NOT(OR(ISBLANK(J22),J22="")),(I22/12)*J22,""),0)</f>
        <v>0</v>
      </c>
      <c r="R22" s="336">
        <f>IF('Personnel Yr 1'!$K$5&gt;4,IF(NOT(OR(ISBLANK(K22),K22="")),(I22/8.5)*K22,""),0)</f>
        <v>0</v>
      </c>
      <c r="S22" s="335">
        <f>IF('Personnel Yr 1'!$K$5&gt;4,IF(NOT(OR(ISBLANK(L22),L22="")),(I22/8.5)*L22,""),0)</f>
        <v>0</v>
      </c>
      <c r="U22" s="335">
        <f t="shared" si="4"/>
        <v>0</v>
      </c>
      <c r="V22" s="335">
        <f t="shared" si="5"/>
        <v>0</v>
      </c>
      <c r="W22" s="335">
        <f t="shared" si="6"/>
        <v>0</v>
      </c>
      <c r="Y22" s="335">
        <v>22</v>
      </c>
      <c r="Z22" s="335" t="b">
        <f>IF('Personnel Yr 1'!$K$5&gt;4,IF(OR($O$5&lt;&gt;"Federal - NIH",OR(AND(ISBLANK(J22),ISBLANK(K22),ISBLANK(L22)),AND(J22="",K22="",L22=""))),FALSE,IF(J22&gt;0,I22&gt;NIHSalaryCap,I22&gt;(NIHSalaryCap*8.5)/12)),FALSE)</f>
        <v>0</v>
      </c>
    </row>
    <row r="23" spans="1:26" x14ac:dyDescent="0.2">
      <c r="A23" s="4">
        <v>4</v>
      </c>
      <c r="B23" s="5" t="str">
        <f>IF('Personnel Yr 1'!$K$5&gt;4,IF(NOT(OR(ISBLANK('Personnel Yr 4'!B23),'Personnel Yr 4'!B23="")),'Personnel Yr 4'!B23,""),"")</f>
        <v/>
      </c>
      <c r="C23" s="17" t="str">
        <f>IF('Personnel Yr 1'!$K$5&gt;4,IF(ISBLANK('Personnel Yr 4'!C23),"",'Personnel Yr 4'!C23),"")</f>
        <v/>
      </c>
      <c r="D23" s="17" t="str">
        <f>IF('Personnel Yr 1'!$K$5&gt;4,IF(ISBLANK('Personnel Yr 4'!D23),"",'Personnel Yr 4'!D23),"")</f>
        <v/>
      </c>
      <c r="E23" s="17" t="str">
        <f>IF('Personnel Yr 1'!$K$5&gt;4,IF(ISBLANK('Personnel Yr 4'!E23),"",'Personnel Yr 4'!E23),"")</f>
        <v/>
      </c>
      <c r="F23" s="17" t="str">
        <f>IF('Personnel Yr 1'!$K$5&gt;4,IF(ISBLANK('Personnel Yr 4'!F23),"",'Personnel Yr 4'!F23),"")</f>
        <v/>
      </c>
      <c r="G23" s="56" t="str">
        <f>IF('Personnel Yr 1'!$K$5&gt;4,IF(ISBLANK('Personnel Yr 4'!G23),"",'Personnel Yr 4'!G23),"")</f>
        <v/>
      </c>
      <c r="H23" s="17" t="str">
        <f>IF('Personnel Yr 1'!$K$5&gt;4,IF(ISBLANK('Personnel Yr 4'!H23),"",'Personnel Yr 4'!H23),"")</f>
        <v/>
      </c>
      <c r="I23" s="32" t="str">
        <f>IF('Personnel Yr 1'!$K$5&gt;4,IF(NOT(OR(ISBLANK('Personnel Yr 4'!I23),'Personnel Yr 4'!I23="")),(('Personnel Yr 4'!I23*'Personnel Yr 1'!$D$5)+'Personnel Yr 4'!I23),""),"")</f>
        <v/>
      </c>
      <c r="J23" s="17" t="str">
        <f>IF('Personnel Yr 1'!$K$5&gt;4,IF(AND(OR(ISBLANK(I23),I23=""),ISBLANK('Personnel Yr 4'!J23)),"",'Personnel Yr 4'!J23),"")</f>
        <v/>
      </c>
      <c r="K23" s="17" t="str">
        <f>IF('Personnel Yr 1'!$K$5&gt;4,IF(AND(OR(ISBLANK(J23),J23=""),ISBLANK('Personnel Yr 4'!K23)),"",'Personnel Yr 4'!K23),"")</f>
        <v/>
      </c>
      <c r="L23" s="17" t="str">
        <f>IF('Personnel Yr 1'!$K$5&gt;4,IF(AND(OR(ISBLANK(K23),K23=""),ISBLANK('Personnel Yr 4'!L23)),"",'Personnel Yr 4'!L23),"")</f>
        <v/>
      </c>
      <c r="M23" s="34" t="str">
        <f>IF('Personnel Yr 1'!$K$5&gt;4,IF(NOT(OR(ISBLANK(I23),I23="")), IF(OR(AND(ISBLANK(J23),ISBLANK(K23),ISBLANK(L23)),AND(J23="",K23="",L23="")),0, IF((AND((J23&gt;0),((K23+L23)&gt;0))),"Error", IF((J23&gt;0),ROUND((IF(AND('Personnel Yr 1'!$P$5&gt;0,I23&gt;'Personnel Yr 1'!$P$5),'Personnel Yr 1'!$P$5,I23)*(J23/12)),2),ROUND((IF(AND('Personnel Yr 1'!$P$5&gt;0,I23&gt;'Personnel Yr 1'!$P$5),'Personnel Yr 1'!$P$5,I23)*((K23+L23)/8.5)),2)))),""),"")</f>
        <v/>
      </c>
      <c r="N23" s="34" t="str">
        <f>IF('Personnel Yr 1'!$K$5&gt;4,IF(OR(ISBLANK(M23),M23=""),"",ROUND(SUM(U23:W23),2)),"")</f>
        <v/>
      </c>
      <c r="O23" s="41" t="str">
        <f>IF('Personnel Yr 1'!$K$5&gt;4,IF(OR(ISBLANK(N23),N23=""),"",ROUND(SUM(M23:N23),2)),"")</f>
        <v/>
      </c>
      <c r="P23" s="15"/>
      <c r="Q23" s="335">
        <f>IF('Personnel Yr 1'!$K$5&gt;4,IF(NOT(OR(ISBLANK(J23),J23="")),(I23/12)*J23,""),0)</f>
        <v>0</v>
      </c>
      <c r="R23" s="336">
        <f>IF('Personnel Yr 1'!$K$5&gt;4,IF(NOT(OR(ISBLANK(K23),K23="")),(I23/8.5)*K23,""),0)</f>
        <v>0</v>
      </c>
      <c r="S23" s="335">
        <f>IF('Personnel Yr 1'!$K$5&gt;4,IF(NOT(OR(ISBLANK(L23),L23="")),(I23/8.5)*L23,""),0)</f>
        <v>0</v>
      </c>
      <c r="U23" s="335">
        <f t="shared" si="4"/>
        <v>0</v>
      </c>
      <c r="V23" s="335">
        <f t="shared" si="5"/>
        <v>0</v>
      </c>
      <c r="W23" s="335">
        <f t="shared" si="6"/>
        <v>0</v>
      </c>
      <c r="Y23" s="335">
        <v>23</v>
      </c>
      <c r="Z23" s="335" t="b">
        <f>IF('Personnel Yr 1'!$K$5&gt;4,IF(OR($O$5&lt;&gt;"Federal - NIH",OR(AND(ISBLANK(J23),ISBLANK(K23),ISBLANK(L23)),AND(J23="",K23="",L23=""))),FALSE,IF(J23&gt;0,I23&gt;NIHSalaryCap,I23&gt;(NIHSalaryCap*8.5)/12)),FALSE)</f>
        <v>0</v>
      </c>
    </row>
    <row r="24" spans="1:26" x14ac:dyDescent="0.2">
      <c r="A24" s="4">
        <v>5</v>
      </c>
      <c r="B24" s="5" t="str">
        <f>IF('Personnel Yr 1'!$K$5&gt;4,IF(NOT(OR(ISBLANK('Personnel Yr 4'!B24),'Personnel Yr 4'!B24="")),'Personnel Yr 4'!B24,""),"")</f>
        <v/>
      </c>
      <c r="C24" s="17" t="str">
        <f>IF('Personnel Yr 1'!$K$5&gt;4,IF(ISBLANK('Personnel Yr 4'!C24),"",'Personnel Yr 4'!C24),"")</f>
        <v/>
      </c>
      <c r="D24" s="17" t="str">
        <f>IF('Personnel Yr 1'!$K$5&gt;4,IF(ISBLANK('Personnel Yr 4'!D24),"",'Personnel Yr 4'!D24),"")</f>
        <v/>
      </c>
      <c r="E24" s="17" t="str">
        <f>IF('Personnel Yr 1'!$K$5&gt;4,IF(ISBLANK('Personnel Yr 4'!E24),"",'Personnel Yr 4'!E24),"")</f>
        <v/>
      </c>
      <c r="F24" s="17" t="str">
        <f>IF('Personnel Yr 1'!$K$5&gt;4,IF(ISBLANK('Personnel Yr 4'!F24),"",'Personnel Yr 4'!F24),"")</f>
        <v/>
      </c>
      <c r="G24" s="17" t="str">
        <f>IF('Personnel Yr 1'!$K$5&gt;4,IF(ISBLANK('Personnel Yr 4'!G24),"",'Personnel Yr 4'!G24),"")</f>
        <v/>
      </c>
      <c r="H24" s="17" t="str">
        <f>IF('Personnel Yr 1'!$K$5&gt;4,IF(ISBLANK('Personnel Yr 4'!H24),"",'Personnel Yr 4'!H24),"")</f>
        <v/>
      </c>
      <c r="I24" s="32" t="str">
        <f>IF('Personnel Yr 1'!$K$5&gt;4,IF(NOT(OR(ISBLANK('Personnel Yr 4'!I24),'Personnel Yr 4'!I24="")),(('Personnel Yr 4'!I24*'Personnel Yr 1'!$D$5)+'Personnel Yr 4'!I24),""),"")</f>
        <v/>
      </c>
      <c r="J24" s="17" t="str">
        <f>IF('Personnel Yr 1'!$K$5&gt;4,IF(AND(OR(ISBLANK(I24),I24=""),ISBLANK('Personnel Yr 4'!J24)),"",'Personnel Yr 4'!J24),"")</f>
        <v/>
      </c>
      <c r="K24" s="17" t="str">
        <f>IF('Personnel Yr 1'!$K$5&gt;4,IF(AND(OR(ISBLANK(J24),J24=""),ISBLANK('Personnel Yr 4'!K24)),"",'Personnel Yr 4'!K24),"")</f>
        <v/>
      </c>
      <c r="L24" s="17" t="str">
        <f>IF('Personnel Yr 1'!$K$5&gt;4,IF(AND(OR(ISBLANK(K24),K24=""),ISBLANK('Personnel Yr 4'!L24)),"",'Personnel Yr 4'!L24),"")</f>
        <v/>
      </c>
      <c r="M24" s="34" t="str">
        <f>IF('Personnel Yr 1'!$K$5&gt;4,IF(NOT(OR(ISBLANK(I24),I24="")), IF(OR(AND(ISBLANK(J24),ISBLANK(K24),ISBLANK(L24)),AND(J24="",K24="",L24="")),0, IF((AND((J24&gt;0),((K24+L24)&gt;0))),"Error", IF((J24&gt;0),ROUND((IF(AND('Personnel Yr 1'!$P$5&gt;0,I24&gt;'Personnel Yr 1'!$P$5),'Personnel Yr 1'!$P$5,I24)*(J24/12)),2),ROUND((IF(AND('Personnel Yr 1'!$P$5&gt;0,I24&gt;'Personnel Yr 1'!$P$5),'Personnel Yr 1'!$P$5,I24)*((K24+L24)/8.5)),2)))),""),"")</f>
        <v/>
      </c>
      <c r="N24" s="34" t="str">
        <f>IF('Personnel Yr 1'!$K$5&gt;4,IF(OR(ISBLANK(M24),M24=""),"",ROUND(SUM(U24:W24),2)),"")</f>
        <v/>
      </c>
      <c r="O24" s="41" t="str">
        <f>IF('Personnel Yr 1'!$K$5&gt;4,IF(OR(ISBLANK(N24),N24=""),"",ROUND(SUM(M24:N24),2)),"")</f>
        <v/>
      </c>
      <c r="P24" s="15"/>
      <c r="Q24" s="335">
        <f>IF('Personnel Yr 1'!$K$5&gt;4,IF(NOT(OR(ISBLANK(J24),J24="")),(I24/12)*J24,""),0)</f>
        <v>0</v>
      </c>
      <c r="R24" s="336">
        <f>IF('Personnel Yr 1'!$K$5&gt;4,IF(NOT(OR(ISBLANK(K24),K24="")),(I24/8.5)*K24,""),0)</f>
        <v>0</v>
      </c>
      <c r="S24" s="335">
        <f>IF('Personnel Yr 1'!$K$5&gt;4,IF(NOT(OR(ISBLANK(L24),L24="")),(I24/8.5)*L24,""),0)</f>
        <v>0</v>
      </c>
      <c r="U24" s="335">
        <f t="shared" si="4"/>
        <v>0</v>
      </c>
      <c r="V24" s="335">
        <f t="shared" si="5"/>
        <v>0</v>
      </c>
      <c r="W24" s="335">
        <f t="shared" si="6"/>
        <v>0</v>
      </c>
      <c r="Y24" s="335">
        <v>24</v>
      </c>
      <c r="Z24" s="335" t="b">
        <f>IF('Personnel Yr 1'!$K$5&gt;4,IF(OR($O$5&lt;&gt;"Federal - NIH",OR(AND(ISBLANK(J24),ISBLANK(K24),ISBLANK(L24)),AND(J24="",K24="",L24=""))),FALSE,IF(J24&gt;0,I24&gt;NIHSalaryCap,I24&gt;(NIHSalaryCap*8.5)/12)),FALSE)</f>
        <v>0</v>
      </c>
    </row>
    <row r="25" spans="1:26" x14ac:dyDescent="0.2">
      <c r="A25" s="4">
        <v>6</v>
      </c>
      <c r="B25" s="5" t="str">
        <f>IF('Personnel Yr 1'!$K$5&gt;4,IF(NOT(OR(ISBLANK('Personnel Yr 4'!B25),'Personnel Yr 4'!B25="")),'Personnel Yr 4'!B25,""),"")</f>
        <v/>
      </c>
      <c r="C25" s="17" t="str">
        <f>IF('Personnel Yr 1'!$K$5&gt;4,IF(ISBLANK('Personnel Yr 4'!C25),"",'Personnel Yr 4'!C25),"")</f>
        <v/>
      </c>
      <c r="D25" s="17" t="str">
        <f>IF('Personnel Yr 1'!$K$5&gt;4,IF(ISBLANK('Personnel Yr 4'!D25),"",'Personnel Yr 4'!D25),"")</f>
        <v/>
      </c>
      <c r="E25" s="17" t="str">
        <f>IF('Personnel Yr 1'!$K$5&gt;4,IF(ISBLANK('Personnel Yr 4'!E25),"",'Personnel Yr 4'!E25),"")</f>
        <v/>
      </c>
      <c r="F25" s="17" t="str">
        <f>IF('Personnel Yr 1'!$K$5&gt;4,IF(ISBLANK('Personnel Yr 4'!F25),"",'Personnel Yr 4'!F25),"")</f>
        <v/>
      </c>
      <c r="G25" s="17" t="str">
        <f>IF('Personnel Yr 1'!$K$5&gt;4,IF(ISBLANK('Personnel Yr 4'!G25),"",'Personnel Yr 4'!G25),"")</f>
        <v/>
      </c>
      <c r="H25" s="17" t="str">
        <f>IF('Personnel Yr 1'!$K$5&gt;4,IF(ISBLANK('Personnel Yr 4'!H25),"",'Personnel Yr 4'!H25),"")</f>
        <v/>
      </c>
      <c r="I25" s="32" t="str">
        <f>IF('Personnel Yr 1'!$K$5&gt;4,IF(NOT(OR(ISBLANK('Personnel Yr 4'!I25),'Personnel Yr 4'!I25="")),(('Personnel Yr 4'!I25*'Personnel Yr 1'!$D$5)+'Personnel Yr 4'!I25),""),"")</f>
        <v/>
      </c>
      <c r="J25" s="17" t="str">
        <f>IF('Personnel Yr 1'!$K$5&gt;4,IF(AND(OR(ISBLANK(I25),I25=""),ISBLANK('Personnel Yr 4'!J25)),"",'Personnel Yr 4'!J25),"")</f>
        <v/>
      </c>
      <c r="K25" s="17" t="str">
        <f>IF('Personnel Yr 1'!$K$5&gt;4,IF(AND(OR(ISBLANK(J25),J25=""),ISBLANK('Personnel Yr 4'!K25)),"",'Personnel Yr 4'!K25),"")</f>
        <v/>
      </c>
      <c r="L25" s="17" t="str">
        <f>IF('Personnel Yr 1'!$K$5&gt;4,IF(AND(OR(ISBLANK(K25),K25=""),ISBLANK('Personnel Yr 4'!L25)),"",'Personnel Yr 4'!L25),"")</f>
        <v/>
      </c>
      <c r="M25" s="34" t="str">
        <f>IF('Personnel Yr 1'!$K$5&gt;4,IF(NOT(OR(ISBLANK(I25),I25="")), IF(OR(AND(ISBLANK(J25),ISBLANK(K25),ISBLANK(L25)),AND(J25="",K25="",L25="")),0, IF((AND((J25&gt;0),((K25+L25)&gt;0))),"Error", IF((J25&gt;0),ROUND((IF(AND('Personnel Yr 1'!$P$5&gt;0,I25&gt;'Personnel Yr 1'!$P$5),'Personnel Yr 1'!$P$5,I25)*(J25/12)),2),ROUND((IF(AND('Personnel Yr 1'!$P$5&gt;0,I25&gt;'Personnel Yr 1'!$P$5),'Personnel Yr 1'!$P$5,I25)*((K25+L25)/8.5)),2)))),""),"")</f>
        <v/>
      </c>
      <c r="N25" s="34" t="str">
        <f>IF('Personnel Yr 1'!$K$5&gt;4,IF(OR(ISBLANK(M25),M25=""),"",ROUND(SUM(U25:W25),2)),"")</f>
        <v/>
      </c>
      <c r="O25" s="41" t="str">
        <f>IF('Personnel Yr 1'!$K$5&gt;4,IF(OR(ISBLANK(N25),N25=""),"",ROUND(SUM(M25:N25),2)),"")</f>
        <v/>
      </c>
      <c r="P25" s="187"/>
      <c r="Q25" s="335">
        <f>IF('Personnel Yr 1'!$K$5&gt;4,IF(NOT(OR(ISBLANK(J25),J25="")),(I25/12)*J25,""),0)</f>
        <v>0</v>
      </c>
      <c r="R25" s="336">
        <f>IF('Personnel Yr 1'!$K$5&gt;4,IF(NOT(OR(ISBLANK(K25),K25="")),(I25/8.5)*K25,""),0)</f>
        <v>0</v>
      </c>
      <c r="S25" s="335">
        <f>IF('Personnel Yr 1'!$K$5&gt;4,IF(NOT(OR(ISBLANK(L25),L25="")),(I25/8.5)*L25,""),0)</f>
        <v>0</v>
      </c>
      <c r="U25" s="335">
        <f t="shared" si="4"/>
        <v>0</v>
      </c>
      <c r="V25" s="335">
        <f t="shared" si="5"/>
        <v>0</v>
      </c>
      <c r="W25" s="335">
        <f t="shared" si="6"/>
        <v>0</v>
      </c>
      <c r="Y25" s="335">
        <v>25</v>
      </c>
      <c r="Z25" s="335" t="b">
        <f>IF('Personnel Yr 1'!$K$5&gt;4,IF(OR($O$5&lt;&gt;"Federal - NIH",OR(AND(ISBLANK(J25),ISBLANK(K25),ISBLANK(L25)),AND(J25="",K25="",L25=""))),FALSE,IF(J25&gt;0,I25&gt;NIHSalaryCap,I25&gt;(NIHSalaryCap*8.5)/12)),FALSE)</f>
        <v>0</v>
      </c>
    </row>
    <row r="26" spans="1:26" x14ac:dyDescent="0.2">
      <c r="A26" s="4">
        <v>7</v>
      </c>
      <c r="B26" s="5" t="str">
        <f>IF('Personnel Yr 1'!$K$5&gt;4,IF(NOT(OR(ISBLANK('Personnel Yr 4'!B26),'Personnel Yr 4'!B26="")),'Personnel Yr 4'!B26,""),"")</f>
        <v/>
      </c>
      <c r="C26" s="17" t="str">
        <f>IF('Personnel Yr 1'!$K$5&gt;4,IF(ISBLANK('Personnel Yr 4'!C26),"",'Personnel Yr 4'!C26),"")</f>
        <v/>
      </c>
      <c r="D26" s="17" t="str">
        <f>IF('Personnel Yr 1'!$K$5&gt;4,IF(ISBLANK('Personnel Yr 4'!D26),"",'Personnel Yr 4'!D26),"")</f>
        <v/>
      </c>
      <c r="E26" s="17" t="str">
        <f>IF('Personnel Yr 1'!$K$5&gt;4,IF(ISBLANK('Personnel Yr 4'!E26),"",'Personnel Yr 4'!E26),"")</f>
        <v/>
      </c>
      <c r="F26" s="17" t="str">
        <f>IF('Personnel Yr 1'!$K$5&gt;4,IF(ISBLANK('Personnel Yr 4'!F26),"",'Personnel Yr 4'!F26),"")</f>
        <v/>
      </c>
      <c r="G26" s="17" t="str">
        <f>IF('Personnel Yr 1'!$K$5&gt;4,IF(ISBLANK('Personnel Yr 4'!G26),"",'Personnel Yr 4'!G26),"")</f>
        <v/>
      </c>
      <c r="H26" s="17" t="str">
        <f>IF('Personnel Yr 1'!$K$5&gt;4,IF(ISBLANK('Personnel Yr 4'!H26),"",'Personnel Yr 4'!H26),"")</f>
        <v/>
      </c>
      <c r="I26" s="32" t="str">
        <f>IF('Personnel Yr 1'!$K$5&gt;4,IF(NOT(OR(ISBLANK('Personnel Yr 4'!I26),'Personnel Yr 4'!I26="")),(('Personnel Yr 4'!I26*'Personnel Yr 1'!$D$5)+'Personnel Yr 4'!I26),""),"")</f>
        <v/>
      </c>
      <c r="J26" s="17" t="str">
        <f>IF('Personnel Yr 1'!$K$5&gt;4,IF(AND(OR(ISBLANK(I26),I26=""),ISBLANK('Personnel Yr 4'!J26)),"",'Personnel Yr 4'!J26),"")</f>
        <v/>
      </c>
      <c r="K26" s="17" t="str">
        <f>IF('Personnel Yr 1'!$K$5&gt;4,IF(AND(OR(ISBLANK(J26),J26=""),ISBLANK('Personnel Yr 4'!K26)),"",'Personnel Yr 4'!K26),"")</f>
        <v/>
      </c>
      <c r="L26" s="17" t="str">
        <f>IF('Personnel Yr 1'!$K$5&gt;4,IF(AND(OR(ISBLANK(K26),K26=""),ISBLANK('Personnel Yr 4'!L26)),"",'Personnel Yr 4'!L26),"")</f>
        <v/>
      </c>
      <c r="M26" s="34" t="str">
        <f>IF('Personnel Yr 1'!$K$5&gt;4,IF(NOT(OR(ISBLANK(I26),I26="")), IF(OR(AND(ISBLANK(J26),ISBLANK(K26),ISBLANK(L26)),AND(J26="",K26="",L26="")),0, IF((AND((J26&gt;0),((K26+L26)&gt;0))),"Error", IF((J26&gt;0),ROUND((IF(AND('Personnel Yr 1'!$P$5&gt;0,I26&gt;'Personnel Yr 1'!$P$5),'Personnel Yr 1'!$P$5,I26)*(J26/12)),2),ROUND((IF(AND('Personnel Yr 1'!$P$5&gt;0,I26&gt;'Personnel Yr 1'!$P$5),'Personnel Yr 1'!$P$5,I26)*((K26+L26)/8.5)),2)))),""),"")</f>
        <v/>
      </c>
      <c r="N26" s="34" t="str">
        <f>IF('Personnel Yr 1'!$K$5&gt;4,IF(OR(ISBLANK(M26),M26=""),"",ROUND(SUM(U26:W26),2)),"")</f>
        <v/>
      </c>
      <c r="O26" s="41" t="str">
        <f>IF('Personnel Yr 1'!$K$5&gt;4,IF(OR(ISBLANK(N26),N26=""),"",ROUND(SUM(M26:N26),2)),"")</f>
        <v/>
      </c>
      <c r="P26" s="15"/>
      <c r="Q26" s="335">
        <f>IF('Personnel Yr 1'!$K$5&gt;4,IF(NOT(OR(ISBLANK(J26),J26="")),(I26/12)*J26,""),0)</f>
        <v>0</v>
      </c>
      <c r="R26" s="336">
        <f>IF('Personnel Yr 1'!$K$5&gt;4,IF(NOT(OR(ISBLANK(K26),K26="")),(I26/8.5)*K26,""),0)</f>
        <v>0</v>
      </c>
      <c r="S26" s="335">
        <f>IF('Personnel Yr 1'!$K$5&gt;4,IF(NOT(OR(ISBLANK(L26),L26="")),(I26/8.5)*L26,""),0)</f>
        <v>0</v>
      </c>
      <c r="U26" s="335">
        <f t="shared" si="4"/>
        <v>0</v>
      </c>
      <c r="V26" s="335">
        <f t="shared" si="5"/>
        <v>0</v>
      </c>
      <c r="W26" s="335">
        <f t="shared" si="6"/>
        <v>0</v>
      </c>
      <c r="Y26" s="335">
        <v>26</v>
      </c>
      <c r="Z26" s="335" t="b">
        <f>IF('Personnel Yr 1'!$K$5&gt;4,IF(OR($O$5&lt;&gt;"Federal - NIH",OR(AND(ISBLANK(J26),ISBLANK(K26),ISBLANK(L26)),AND(J26="",K26="",L26=""))),FALSE,IF(J26&gt;0,I26&gt;NIHSalaryCap,I26&gt;(NIHSalaryCap*8.5)/12)),FALSE)</f>
        <v>0</v>
      </c>
    </row>
    <row r="27" spans="1:26" x14ac:dyDescent="0.2">
      <c r="A27" s="4">
        <v>8</v>
      </c>
      <c r="B27" s="57" t="str">
        <f>IF('Personnel Yr 1'!$K$5&gt;4,IF(NOT(OR(ISBLANK('Personnel Yr 4'!B27),'Personnel Yr 4'!B27="")),'Personnel Yr 4'!B27,""),"")</f>
        <v/>
      </c>
      <c r="C27" s="54" t="str">
        <f>IF('Personnel Yr 1'!$K$5&gt;4,IF(ISBLANK('Personnel Yr 4'!C27),"",'Personnel Yr 4'!C27),"")</f>
        <v/>
      </c>
      <c r="D27" s="54" t="str">
        <f>IF('Personnel Yr 1'!$K$5&gt;4,IF(ISBLANK('Personnel Yr 4'!D27),"",'Personnel Yr 4'!D27),"")</f>
        <v/>
      </c>
      <c r="E27" s="54" t="str">
        <f>IF('Personnel Yr 1'!$K$5&gt;4,IF(ISBLANK('Personnel Yr 4'!E27),"",'Personnel Yr 4'!E27),"")</f>
        <v/>
      </c>
      <c r="F27" s="54" t="str">
        <f>IF('Personnel Yr 1'!$K$5&gt;4,IF(ISBLANK('Personnel Yr 4'!F27),"",'Personnel Yr 4'!F27),"")</f>
        <v/>
      </c>
      <c r="G27" s="54" t="str">
        <f>IF('Personnel Yr 1'!$K$5&gt;4,IF(ISBLANK('Personnel Yr 4'!G27),"",'Personnel Yr 4'!G27),"")</f>
        <v/>
      </c>
      <c r="H27" s="17" t="str">
        <f>IF('Personnel Yr 1'!$K$5&gt;4,IF(ISBLANK('Personnel Yr 4'!H27),"",'Personnel Yr 4'!H27),"")</f>
        <v/>
      </c>
      <c r="I27" s="32" t="str">
        <f>IF('Personnel Yr 1'!$K$5&gt;4,IF(NOT(OR(ISBLANK('Personnel Yr 4'!I27),'Personnel Yr 4'!I27="")),(('Personnel Yr 4'!I27*'Personnel Yr 1'!$D$5)+'Personnel Yr 4'!I27),""),"")</f>
        <v/>
      </c>
      <c r="J27" s="17" t="str">
        <f>IF('Personnel Yr 1'!$K$5&gt;4,IF(AND(OR(ISBLANK(I27),I27=""),ISBLANK('Personnel Yr 4'!J27)),"",'Personnel Yr 4'!J27),"")</f>
        <v/>
      </c>
      <c r="K27" s="17" t="str">
        <f>IF('Personnel Yr 1'!$K$5&gt;4,IF(AND(OR(ISBLANK(J27),J27=""),ISBLANK('Personnel Yr 4'!K27)),"",'Personnel Yr 4'!K27),"")</f>
        <v/>
      </c>
      <c r="L27" s="17" t="str">
        <f>IF('Personnel Yr 1'!$K$5&gt;4,IF(AND(OR(ISBLANK(K27),K27=""),ISBLANK('Personnel Yr 4'!L27)),"",'Personnel Yr 4'!L27),"")</f>
        <v/>
      </c>
      <c r="M27" s="34" t="str">
        <f>IF('Personnel Yr 1'!$K$5&gt;4,IF(NOT(OR(ISBLANK(I27),I27="")), IF(OR(AND(ISBLANK(J27),ISBLANK(K27),ISBLANK(L27)),AND(J27="",K27="",L27="")),0, IF((AND((J27&gt;0),((K27+L27)&gt;0))),"Error", IF((J27&gt;0),ROUND((IF(AND('Personnel Yr 1'!$P$5&gt;0,I27&gt;'Personnel Yr 1'!$P$5),'Personnel Yr 1'!$P$5,I27)*(J27/12)),2),ROUND((IF(AND('Personnel Yr 1'!$P$5&gt;0,I27&gt;'Personnel Yr 1'!$P$5),'Personnel Yr 1'!$P$5,I27)*((K27+L27)/8.5)),2)))),""),"")</f>
        <v/>
      </c>
      <c r="N27" s="39" t="str">
        <f>IF('Personnel Yr 1'!$K$5&gt;4,IF(OR(ISBLANK(M27),M27=""),"",ROUND(SUM(U27:W27),2)),"")</f>
        <v/>
      </c>
      <c r="O27" s="40" t="str">
        <f>IF('Personnel Yr 1'!$K$5&gt;4,IF(OR(ISBLANK(N27),N27=""),"",ROUND(SUM(M27:N27),2)),"")</f>
        <v/>
      </c>
      <c r="P27" s="14"/>
      <c r="Q27" s="335">
        <f>IF('Personnel Yr 1'!$K$5&gt;4,IF(NOT(OR(ISBLANK(J27),J27="")),(I27/12)*J27,""),0)</f>
        <v>0</v>
      </c>
      <c r="R27" s="336">
        <f>IF('Personnel Yr 1'!$K$5&gt;4,IF(NOT(OR(ISBLANK(K27),K27="")),(I27/8.5)*K27,""),0)</f>
        <v>0</v>
      </c>
      <c r="S27" s="335">
        <f>IF('Personnel Yr 1'!$K$5&gt;4,IF(NOT(OR(ISBLANK(L27),L27="")),(I27/8.5)*L27,""),0)</f>
        <v>0</v>
      </c>
      <c r="U27" s="335">
        <f t="shared" si="4"/>
        <v>0</v>
      </c>
      <c r="V27" s="335">
        <f t="shared" si="5"/>
        <v>0</v>
      </c>
      <c r="W27" s="335">
        <f t="shared" si="6"/>
        <v>0</v>
      </c>
      <c r="Y27" s="335">
        <v>27</v>
      </c>
      <c r="Z27" s="335" t="b">
        <f>IF('Personnel Yr 1'!$K$5&gt;4,IF(OR($O$5&lt;&gt;"Federal - NIH",OR(AND(ISBLANK(J27),ISBLANK(K27),ISBLANK(L27)),AND(J27="",K27="",L27=""))),FALSE,IF(J27&gt;0,I27&gt;NIHSalaryCap,I27&gt;(NIHSalaryCap*8.5)/12)),FALSE)</f>
        <v>0</v>
      </c>
    </row>
    <row r="28" spans="1:26" x14ac:dyDescent="0.2">
      <c r="A28" s="4">
        <v>9</v>
      </c>
      <c r="B28" s="5" t="str">
        <f>IF('Personnel Yr 1'!$K$5&gt;4,IF(NOT(OR(ISBLANK('Personnel Yr 4'!B28),'Personnel Yr 4'!B28="")),'Personnel Yr 4'!B28,""),"")</f>
        <v/>
      </c>
      <c r="C28" s="17" t="str">
        <f>IF('Personnel Yr 1'!$K$5&gt;4,IF(ISBLANK('Personnel Yr 4'!C28),"",'Personnel Yr 4'!C28),"")</f>
        <v/>
      </c>
      <c r="D28" s="17" t="str">
        <f>IF('Personnel Yr 1'!$K$5&gt;4,IF(ISBLANK('Personnel Yr 4'!D28),"",'Personnel Yr 4'!D28),"")</f>
        <v/>
      </c>
      <c r="E28" s="17" t="str">
        <f>IF('Personnel Yr 1'!$K$5&gt;4,IF(ISBLANK('Personnel Yr 4'!E28),"",'Personnel Yr 4'!E28),"")</f>
        <v/>
      </c>
      <c r="F28" s="17" t="str">
        <f>IF('Personnel Yr 1'!$K$5&gt;4,IF(ISBLANK('Personnel Yr 4'!F28),"",'Personnel Yr 4'!F28),"")</f>
        <v/>
      </c>
      <c r="G28" s="56" t="str">
        <f>IF('Personnel Yr 1'!$K$5&gt;4,IF(ISBLANK('Personnel Yr 4'!G28),"",'Personnel Yr 4'!G28),"")</f>
        <v/>
      </c>
      <c r="H28" s="17" t="str">
        <f>IF('Personnel Yr 1'!$K$5&gt;4,IF(ISBLANK('Personnel Yr 4'!H28),"",'Personnel Yr 4'!H28),"")</f>
        <v/>
      </c>
      <c r="I28" s="32" t="str">
        <f>IF('Personnel Yr 1'!$K$5&gt;4,IF(NOT(OR(ISBLANK('Personnel Yr 4'!I28),'Personnel Yr 4'!I28="")),(('Personnel Yr 4'!I28*'Personnel Yr 1'!$D$5)+'Personnel Yr 4'!I28),""),"")</f>
        <v/>
      </c>
      <c r="J28" s="17" t="str">
        <f>IF('Personnel Yr 1'!$K$5&gt;4,IF(AND(OR(ISBLANK(I28),I28=""),ISBLANK('Personnel Yr 4'!J28)),"",'Personnel Yr 4'!J28),"")</f>
        <v/>
      </c>
      <c r="K28" s="17" t="str">
        <f>IF('Personnel Yr 1'!$K$5&gt;4,IF(AND(OR(ISBLANK(J28),J28=""),ISBLANK('Personnel Yr 4'!K28)),"",'Personnel Yr 4'!K28),"")</f>
        <v/>
      </c>
      <c r="L28" s="17" t="str">
        <f>IF('Personnel Yr 1'!$K$5&gt;4,IF(AND(OR(ISBLANK(K28),K28=""),ISBLANK('Personnel Yr 4'!L28)),"",'Personnel Yr 4'!L28),"")</f>
        <v/>
      </c>
      <c r="M28" s="34" t="str">
        <f>IF('Personnel Yr 1'!$K$5&gt;4,IF(NOT(OR(ISBLANK(I28),I28="")), IF(OR(AND(ISBLANK(J28),ISBLANK(K28),ISBLANK(L28)),AND(J28="",K28="",L28="")),0, IF((AND((J28&gt;0),((K28+L28)&gt;0))),"Error", IF((J28&gt;0),ROUND((IF(AND('Personnel Yr 1'!$P$5&gt;0,I28&gt;'Personnel Yr 1'!$P$5),'Personnel Yr 1'!$P$5,I28)*(J28/12)),2),ROUND((IF(AND('Personnel Yr 1'!$P$5&gt;0,I28&gt;'Personnel Yr 1'!$P$5),'Personnel Yr 1'!$P$5,I28)*((K28+L28)/8.5)),2)))),""),"")</f>
        <v/>
      </c>
      <c r="N28" s="34" t="str">
        <f>IF('Personnel Yr 1'!$K$5&gt;4,IF(OR(ISBLANK(M28),M28=""),"",ROUND(SUM(U28:W28),2)),"")</f>
        <v/>
      </c>
      <c r="O28" s="41" t="str">
        <f>IF('Personnel Yr 1'!$K$5&gt;4,IF(OR(ISBLANK(N28),N28=""),"",ROUND(SUM(M28:N28),2)),"")</f>
        <v/>
      </c>
      <c r="P28" s="15"/>
      <c r="Q28" s="335">
        <f>IF('Personnel Yr 1'!$K$5&gt;4,IF(NOT(OR(ISBLANK(J28),J28="")),(I28/12)*J28,""),0)</f>
        <v>0</v>
      </c>
      <c r="R28" s="336">
        <f>IF('Personnel Yr 1'!$K$5&gt;4,IF(NOT(OR(ISBLANK(K28),K28="")),(I28/8.5)*K28,""),0)</f>
        <v>0</v>
      </c>
      <c r="S28" s="335">
        <f>IF('Personnel Yr 1'!$K$5&gt;4,IF(NOT(OR(ISBLANK(L28),L28="")),(I28/8.5)*L28,""),0)</f>
        <v>0</v>
      </c>
      <c r="U28" s="335">
        <f t="shared" si="4"/>
        <v>0</v>
      </c>
      <c r="V28" s="335">
        <f t="shared" si="5"/>
        <v>0</v>
      </c>
      <c r="W28" s="335">
        <f t="shared" si="6"/>
        <v>0</v>
      </c>
      <c r="Y28" s="335">
        <v>28</v>
      </c>
      <c r="Z28" s="335" t="b">
        <f>IF('Personnel Yr 1'!$K$5&gt;4,IF(OR($O$5&lt;&gt;"Federal - NIH",OR(AND(ISBLANK(J28),ISBLANK(K28),ISBLANK(L28)),AND(J28="",K28="",L28=""))),FALSE,IF(J28&gt;0,I28&gt;NIHSalaryCap,I28&gt;(NIHSalaryCap*8.5)/12)),FALSE)</f>
        <v>0</v>
      </c>
    </row>
    <row r="29" spans="1:26" x14ac:dyDescent="0.2">
      <c r="A29" s="4">
        <v>10</v>
      </c>
      <c r="B29" s="5" t="str">
        <f>IF('Personnel Yr 1'!$K$5&gt;4,IF(NOT(OR(ISBLANK('Personnel Yr 4'!B29),'Personnel Yr 4'!B29="")),'Personnel Yr 4'!B29,""),"")</f>
        <v/>
      </c>
      <c r="C29" s="17" t="str">
        <f>IF('Personnel Yr 1'!$K$5&gt;4,IF(ISBLANK('Personnel Yr 4'!C29),"",'Personnel Yr 4'!C29),"")</f>
        <v/>
      </c>
      <c r="D29" s="17" t="str">
        <f>IF('Personnel Yr 1'!$K$5&gt;4,IF(ISBLANK('Personnel Yr 4'!D29),"",'Personnel Yr 4'!D29),"")</f>
        <v/>
      </c>
      <c r="E29" s="17" t="str">
        <f>IF('Personnel Yr 1'!$K$5&gt;4,IF(ISBLANK('Personnel Yr 4'!E29),"",'Personnel Yr 4'!E29),"")</f>
        <v/>
      </c>
      <c r="F29" s="17" t="str">
        <f>IF('Personnel Yr 1'!$K$5&gt;4,IF(ISBLANK('Personnel Yr 4'!F29),"",'Personnel Yr 4'!F29),"")</f>
        <v/>
      </c>
      <c r="G29" s="17" t="str">
        <f>IF('Personnel Yr 1'!$K$5&gt;4,IF(ISBLANK('Personnel Yr 4'!G29),"",'Personnel Yr 4'!G29),"")</f>
        <v/>
      </c>
      <c r="H29" s="17" t="str">
        <f>IF('Personnel Yr 1'!$K$5&gt;4,IF(ISBLANK('Personnel Yr 4'!H29),"",'Personnel Yr 4'!H29),"")</f>
        <v/>
      </c>
      <c r="I29" s="32" t="str">
        <f>IF('Personnel Yr 1'!$K$5&gt;4,IF(NOT(OR(ISBLANK('Personnel Yr 4'!I29),'Personnel Yr 4'!I29="")),(('Personnel Yr 4'!I29*'Personnel Yr 1'!$D$5)+'Personnel Yr 4'!I29),""),"")</f>
        <v/>
      </c>
      <c r="J29" s="17" t="str">
        <f>IF('Personnel Yr 1'!$K$5&gt;4,IF(AND(OR(ISBLANK(I29),I29=""),ISBLANK('Personnel Yr 4'!J29)),"",'Personnel Yr 4'!J29),"")</f>
        <v/>
      </c>
      <c r="K29" s="17" t="str">
        <f>IF('Personnel Yr 1'!$K$5&gt;4,IF(AND(OR(ISBLANK(J29),J29=""),ISBLANK('Personnel Yr 4'!K29)),"",'Personnel Yr 4'!K29),"")</f>
        <v/>
      </c>
      <c r="L29" s="17" t="str">
        <f>IF('Personnel Yr 1'!$K$5&gt;4,IF(AND(OR(ISBLANK(K29),K29=""),ISBLANK('Personnel Yr 4'!L29)),"",'Personnel Yr 4'!L29),"")</f>
        <v/>
      </c>
      <c r="M29" s="34" t="str">
        <f>IF('Personnel Yr 1'!$K$5&gt;4,IF(NOT(OR(ISBLANK(I29),I29="")), IF(OR(AND(ISBLANK(J29),ISBLANK(K29),ISBLANK(L29)),AND(J29="",K29="",L29="")),0, IF((AND((J29&gt;0),((K29+L29)&gt;0))),"Error", IF((J29&gt;0),ROUND((IF(AND('Personnel Yr 1'!$P$5&gt;0,I29&gt;'Personnel Yr 1'!$P$5),'Personnel Yr 1'!$P$5,I29)*(J29/12)),2),ROUND((IF(AND('Personnel Yr 1'!$P$5&gt;0,I29&gt;'Personnel Yr 1'!$P$5),'Personnel Yr 1'!$P$5,I29)*((K29+L29)/8.5)),2)))),""),"")</f>
        <v/>
      </c>
      <c r="N29" s="34" t="str">
        <f>IF('Personnel Yr 1'!$K$5&gt;4,IF(OR(ISBLANK(M29),M29=""),"",ROUND(SUM(U29:W29),2)),"")</f>
        <v/>
      </c>
      <c r="O29" s="41" t="str">
        <f>IF('Personnel Yr 1'!$K$5&gt;4,IF(OR(ISBLANK(N29),N29=""),"",ROUND(SUM(M29:N29),2)),"")</f>
        <v/>
      </c>
      <c r="P29" s="15"/>
      <c r="Q29" s="335">
        <f>IF('Personnel Yr 1'!$K$5&gt;4,IF(NOT(OR(ISBLANK(J29),J29="")),(I29/12)*J29,""),0)</f>
        <v>0</v>
      </c>
      <c r="R29" s="336">
        <f>IF('Personnel Yr 1'!$K$5&gt;4,IF(NOT(OR(ISBLANK(K29),K29="")),(I29/8.5)*K29,""),0)</f>
        <v>0</v>
      </c>
      <c r="S29" s="335">
        <f>IF('Personnel Yr 1'!$K$5&gt;4,IF(NOT(OR(ISBLANK(L29),L29="")),(I29/8.5)*L29,""),0)</f>
        <v>0</v>
      </c>
      <c r="U29" s="335">
        <f t="shared" si="4"/>
        <v>0</v>
      </c>
      <c r="V29" s="335">
        <f t="shared" si="5"/>
        <v>0</v>
      </c>
      <c r="W29" s="335">
        <f t="shared" si="6"/>
        <v>0</v>
      </c>
      <c r="Y29" s="335">
        <v>29</v>
      </c>
      <c r="Z29" s="335" t="b">
        <f>IF('Personnel Yr 1'!$K$5&gt;4,IF(OR($O$5&lt;&gt;"Federal - NIH",OR(AND(ISBLANK(J29),ISBLANK(K29),ISBLANK(L29)),AND(J29="",K29="",L29=""))),FALSE,IF(J29&gt;0,I29&gt;NIHSalaryCap,I29&gt;(NIHSalaryCap*8.5)/12)),FALSE)</f>
        <v>0</v>
      </c>
    </row>
    <row r="30" spans="1:26" x14ac:dyDescent="0.2">
      <c r="A30" s="4">
        <v>11</v>
      </c>
      <c r="B30" s="5" t="str">
        <f>IF('Personnel Yr 1'!$K$5&gt;4,IF(NOT(OR(ISBLANK('Personnel Yr 4'!B30),'Personnel Yr 4'!B30="")),'Personnel Yr 4'!B30,""),"")</f>
        <v/>
      </c>
      <c r="C30" s="17" t="str">
        <f>IF('Personnel Yr 1'!$K$5&gt;4,IF(ISBLANK('Personnel Yr 4'!C30),"",'Personnel Yr 4'!C30),"")</f>
        <v/>
      </c>
      <c r="D30" s="17" t="str">
        <f>IF('Personnel Yr 1'!$K$5&gt;4,IF(ISBLANK('Personnel Yr 4'!D30),"",'Personnel Yr 4'!D30),"")</f>
        <v/>
      </c>
      <c r="E30" s="17" t="str">
        <f>IF('Personnel Yr 1'!$K$5&gt;4,IF(ISBLANK('Personnel Yr 4'!E30),"",'Personnel Yr 4'!E30),"")</f>
        <v/>
      </c>
      <c r="F30" s="17" t="str">
        <f>IF('Personnel Yr 1'!$K$5&gt;4,IF(ISBLANK('Personnel Yr 4'!F30),"",'Personnel Yr 4'!F30),"")</f>
        <v/>
      </c>
      <c r="G30" s="17" t="str">
        <f>IF('Personnel Yr 1'!$K$5&gt;4,IF(ISBLANK('Personnel Yr 4'!G30),"",'Personnel Yr 4'!G30),"")</f>
        <v/>
      </c>
      <c r="H30" s="17" t="str">
        <f>IF('Personnel Yr 1'!$K$5&gt;4,IF(ISBLANK('Personnel Yr 4'!H30),"",'Personnel Yr 4'!H30),"")</f>
        <v/>
      </c>
      <c r="I30" s="32" t="str">
        <f>IF('Personnel Yr 1'!$K$5&gt;4,IF(NOT(OR(ISBLANK('Personnel Yr 4'!I30),'Personnel Yr 4'!I30="")),(('Personnel Yr 4'!I30*'Personnel Yr 1'!$D$5)+'Personnel Yr 4'!I30),""),"")</f>
        <v/>
      </c>
      <c r="J30" s="17" t="str">
        <f>IF('Personnel Yr 1'!$K$5&gt;4,IF(AND(OR(ISBLANK(I30),I30=""),ISBLANK('Personnel Yr 4'!J30)),"",'Personnel Yr 4'!J30),"")</f>
        <v/>
      </c>
      <c r="K30" s="17" t="str">
        <f>IF('Personnel Yr 1'!$K$5&gt;4,IF(AND(OR(ISBLANK(J30),J30=""),ISBLANK('Personnel Yr 4'!K30)),"",'Personnel Yr 4'!K30),"")</f>
        <v/>
      </c>
      <c r="L30" s="17" t="str">
        <f>IF('Personnel Yr 1'!$K$5&gt;4,IF(AND(OR(ISBLANK(K30),K30=""),ISBLANK('Personnel Yr 4'!L30)),"",'Personnel Yr 4'!L30),"")</f>
        <v/>
      </c>
      <c r="M30" s="34" t="str">
        <f>IF('Personnel Yr 1'!$K$5&gt;4,IF(NOT(OR(ISBLANK(I30),I30="")), IF(OR(AND(ISBLANK(J30),ISBLANK(K30),ISBLANK(L30)),AND(J30="",K30="",L30="")),0, IF((AND((J30&gt;0),((K30+L30)&gt;0))),"Error", IF((J30&gt;0),ROUND((IF(AND('Personnel Yr 1'!$P$5&gt;0,I30&gt;'Personnel Yr 1'!$P$5),'Personnel Yr 1'!$P$5,I30)*(J30/12)),2),ROUND((IF(AND('Personnel Yr 1'!$P$5&gt;0,I30&gt;'Personnel Yr 1'!$P$5),'Personnel Yr 1'!$P$5,I30)*((K30+L30)/8.5)),2)))),""),"")</f>
        <v/>
      </c>
      <c r="N30" s="34" t="str">
        <f>IF('Personnel Yr 1'!$K$5&gt;4,IF(OR(ISBLANK(M30),M30=""),"",ROUND(SUM(U30:W30),2)),"")</f>
        <v/>
      </c>
      <c r="O30" s="41" t="str">
        <f>IF('Personnel Yr 1'!$K$5&gt;4,IF(OR(ISBLANK(N30),N30=""),"",ROUND(SUM(M30:N30),2)),"")</f>
        <v/>
      </c>
      <c r="P30" s="187"/>
      <c r="Q30" s="335">
        <f>IF('Personnel Yr 1'!$K$5&gt;4,IF(NOT(OR(ISBLANK(J30),J30="")),(I30/12)*J30,""),0)</f>
        <v>0</v>
      </c>
      <c r="R30" s="336">
        <f>IF('Personnel Yr 1'!$K$5&gt;4,IF(NOT(OR(ISBLANK(K30),K30="")),(I30/8.5)*K30,""),0)</f>
        <v>0</v>
      </c>
      <c r="S30" s="335">
        <f>IF('Personnel Yr 1'!$K$5&gt;4,IF(NOT(OR(ISBLANK(L30),L30="")),(I30/8.5)*L30,""),0)</f>
        <v>0</v>
      </c>
      <c r="U30" s="335">
        <f t="shared" si="4"/>
        <v>0</v>
      </c>
      <c r="V30" s="335">
        <f t="shared" si="5"/>
        <v>0</v>
      </c>
      <c r="W30" s="335">
        <f t="shared" si="6"/>
        <v>0</v>
      </c>
      <c r="Y30" s="335">
        <v>30</v>
      </c>
      <c r="Z30" s="335" t="b">
        <f>IF('Personnel Yr 1'!$K$5&gt;4,IF(OR($O$5&lt;&gt;"Federal - NIH",OR(AND(ISBLANK(J30),ISBLANK(K30),ISBLANK(L30)),AND(J30="",K30="",L30=""))),FALSE,IF(J30&gt;0,I30&gt;NIHSalaryCap,I30&gt;(NIHSalaryCap*8.5)/12)),FALSE)</f>
        <v>0</v>
      </c>
    </row>
    <row r="31" spans="1:26" x14ac:dyDescent="0.2">
      <c r="A31" s="4">
        <v>12</v>
      </c>
      <c r="B31" s="5" t="str">
        <f>IF('Personnel Yr 1'!$K$5&gt;4,IF(NOT(OR(ISBLANK('Personnel Yr 4'!B31),'Personnel Yr 4'!B31="")),'Personnel Yr 4'!B31,""),"")</f>
        <v/>
      </c>
      <c r="C31" s="17" t="str">
        <f>IF('Personnel Yr 1'!$K$5&gt;4,IF(ISBLANK('Personnel Yr 4'!C31),"",'Personnel Yr 4'!C31),"")</f>
        <v/>
      </c>
      <c r="D31" s="17" t="str">
        <f>IF('Personnel Yr 1'!$K$5&gt;4,IF(ISBLANK('Personnel Yr 4'!D31),"",'Personnel Yr 4'!D31),"")</f>
        <v/>
      </c>
      <c r="E31" s="17" t="str">
        <f>IF('Personnel Yr 1'!$K$5&gt;4,IF(ISBLANK('Personnel Yr 4'!E31),"",'Personnel Yr 4'!E31),"")</f>
        <v/>
      </c>
      <c r="F31" s="17" t="str">
        <f>IF('Personnel Yr 1'!$K$5&gt;4,IF(ISBLANK('Personnel Yr 4'!F31),"",'Personnel Yr 4'!F31),"")</f>
        <v/>
      </c>
      <c r="G31" s="17" t="str">
        <f>IF('Personnel Yr 1'!$K$5&gt;4,IF(ISBLANK('Personnel Yr 4'!G31),"",'Personnel Yr 4'!G31),"")</f>
        <v/>
      </c>
      <c r="H31" s="17" t="str">
        <f>IF('Personnel Yr 1'!$K$5&gt;4,IF(ISBLANK('Personnel Yr 4'!H31),"",'Personnel Yr 4'!H31),"")</f>
        <v/>
      </c>
      <c r="I31" s="32" t="str">
        <f>IF('Personnel Yr 1'!$K$5&gt;4,IF(NOT(OR(ISBLANK('Personnel Yr 4'!I31),'Personnel Yr 4'!I31="")),(('Personnel Yr 4'!I31*'Personnel Yr 1'!$D$5)+'Personnel Yr 4'!I31),""),"")</f>
        <v/>
      </c>
      <c r="J31" s="17" t="str">
        <f>IF('Personnel Yr 1'!$K$5&gt;4,IF(AND(OR(ISBLANK(I31),I31=""),ISBLANK('Personnel Yr 4'!J31)),"",'Personnel Yr 4'!J31),"")</f>
        <v/>
      </c>
      <c r="K31" s="17" t="str">
        <f>IF('Personnel Yr 1'!$K$5&gt;4,IF(AND(OR(ISBLANK(J31),J31=""),ISBLANK('Personnel Yr 4'!K31)),"",'Personnel Yr 4'!K31),"")</f>
        <v/>
      </c>
      <c r="L31" s="17" t="str">
        <f>IF('Personnel Yr 1'!$K$5&gt;4,IF(AND(OR(ISBLANK(K31),K31=""),ISBLANK('Personnel Yr 4'!L31)),"",'Personnel Yr 4'!L31),"")</f>
        <v/>
      </c>
      <c r="M31" s="34" t="str">
        <f>IF('Personnel Yr 1'!$K$5&gt;4,IF(NOT(OR(ISBLANK(I31),I31="")), IF(OR(AND(ISBLANK(J31),ISBLANK(K31),ISBLANK(L31)),AND(J31="",K31="",L31="")),0, IF((AND((J31&gt;0),((K31+L31)&gt;0))),"Error", IF((J31&gt;0),ROUND((IF(AND('Personnel Yr 1'!$P$5&gt;0,I31&gt;'Personnel Yr 1'!$P$5),'Personnel Yr 1'!$P$5,I31)*(J31/12)),2),ROUND((IF(AND('Personnel Yr 1'!$P$5&gt;0,I31&gt;'Personnel Yr 1'!$P$5),'Personnel Yr 1'!$P$5,I31)*((K31+L31)/8.5)),2)))),""),"")</f>
        <v/>
      </c>
      <c r="N31" s="34" t="str">
        <f>IF('Personnel Yr 1'!$K$5&gt;4,IF(OR(ISBLANK(M31),M31=""),"",ROUND(SUM(U31:W31),2)),"")</f>
        <v/>
      </c>
      <c r="O31" s="41" t="str">
        <f>IF('Personnel Yr 1'!$K$5&gt;4,IF(OR(ISBLANK(N31),N31=""),"",ROUND(SUM(M31:N31),2)),"")</f>
        <v/>
      </c>
      <c r="P31" s="15"/>
      <c r="Q31" s="335">
        <f>IF('Personnel Yr 1'!$K$5&gt;4,IF(NOT(OR(ISBLANK(J31),J31="")),(I31/12)*J31,""),0)</f>
        <v>0</v>
      </c>
      <c r="R31" s="336">
        <f>IF('Personnel Yr 1'!$K$5&gt;4,IF(NOT(OR(ISBLANK(K31),K31="")),(I31/8.5)*K31,""),0)</f>
        <v>0</v>
      </c>
      <c r="S31" s="335">
        <f>IF('Personnel Yr 1'!$K$5&gt;4,IF(NOT(OR(ISBLANK(L31),L31="")),(I31/8.5)*L31,""),0)</f>
        <v>0</v>
      </c>
      <c r="U31" s="335">
        <f t="shared" si="4"/>
        <v>0</v>
      </c>
      <c r="V31" s="335">
        <f t="shared" si="5"/>
        <v>0</v>
      </c>
      <c r="W31" s="335">
        <f t="shared" si="6"/>
        <v>0</v>
      </c>
      <c r="Y31" s="335">
        <v>31</v>
      </c>
      <c r="Z31" s="335" t="b">
        <f>IF('Personnel Yr 1'!$K$5&gt;4,IF(OR($O$5&lt;&gt;"Federal - NIH",OR(AND(ISBLANK(J31),ISBLANK(K31),ISBLANK(L31)),AND(J31="",K31="",L31=""))),FALSE,IF(J31&gt;0,I31&gt;NIHSalaryCap,I31&gt;(NIHSalaryCap*8.5)/12)),FALSE)</f>
        <v>0</v>
      </c>
    </row>
    <row r="32" spans="1:26" x14ac:dyDescent="0.2">
      <c r="A32" s="4">
        <v>13</v>
      </c>
      <c r="B32" s="57" t="str">
        <f>IF('Personnel Yr 1'!$K$5&gt;4,IF(NOT(OR(ISBLANK('Personnel Yr 4'!B32),'Personnel Yr 4'!B32="")),'Personnel Yr 4'!B32,""),"")</f>
        <v/>
      </c>
      <c r="C32" s="54" t="str">
        <f>IF('Personnel Yr 1'!$K$5&gt;4,IF(ISBLANK('Personnel Yr 4'!C32),"",'Personnel Yr 4'!C32),"")</f>
        <v/>
      </c>
      <c r="D32" s="54" t="str">
        <f>IF('Personnel Yr 1'!$K$5&gt;4,IF(ISBLANK('Personnel Yr 4'!D32),"",'Personnel Yr 4'!D32),"")</f>
        <v/>
      </c>
      <c r="E32" s="54" t="str">
        <f>IF('Personnel Yr 1'!$K$5&gt;4,IF(ISBLANK('Personnel Yr 4'!E32),"",'Personnel Yr 4'!E32),"")</f>
        <v/>
      </c>
      <c r="F32" s="54" t="str">
        <f>IF('Personnel Yr 1'!$K$5&gt;4,IF(ISBLANK('Personnel Yr 4'!F32),"",'Personnel Yr 4'!F32),"")</f>
        <v/>
      </c>
      <c r="G32" s="54" t="str">
        <f>IF('Personnel Yr 1'!$K$5&gt;4,IF(ISBLANK('Personnel Yr 4'!G32),"",'Personnel Yr 4'!G32),"")</f>
        <v/>
      </c>
      <c r="H32" s="17" t="str">
        <f>IF('Personnel Yr 1'!$K$5&gt;4,IF(ISBLANK('Personnel Yr 4'!H32),"",'Personnel Yr 4'!H32),"")</f>
        <v/>
      </c>
      <c r="I32" s="32" t="str">
        <f>IF('Personnel Yr 1'!$K$5&gt;4,IF(NOT(OR(ISBLANK('Personnel Yr 4'!I32),'Personnel Yr 4'!I32="")),(('Personnel Yr 4'!I32*'Personnel Yr 1'!$D$5)+'Personnel Yr 4'!I32),""),"")</f>
        <v/>
      </c>
      <c r="J32" s="17" t="str">
        <f>IF('Personnel Yr 1'!$K$5&gt;4,IF(AND(OR(ISBLANK(I32),I32=""),ISBLANK('Personnel Yr 4'!J32)),"",'Personnel Yr 4'!J32),"")</f>
        <v/>
      </c>
      <c r="K32" s="17" t="str">
        <f>IF('Personnel Yr 1'!$K$5&gt;4,IF(AND(OR(ISBLANK(J32),J32=""),ISBLANK('Personnel Yr 4'!K32)),"",'Personnel Yr 4'!K32),"")</f>
        <v/>
      </c>
      <c r="L32" s="17" t="str">
        <f>IF('Personnel Yr 1'!$K$5&gt;4,IF(AND(OR(ISBLANK(K32),K32=""),ISBLANK('Personnel Yr 4'!L32)),"",'Personnel Yr 4'!L32),"")</f>
        <v/>
      </c>
      <c r="M32" s="34" t="str">
        <f>IF('Personnel Yr 1'!$K$5&gt;4,IF(NOT(OR(ISBLANK(I32),I32="")), IF(OR(AND(ISBLANK(J32),ISBLANK(K32),ISBLANK(L32)),AND(J32="",K32="",L32="")),0, IF((AND((J32&gt;0),((K32+L32)&gt;0))),"Error", IF((J32&gt;0),ROUND((IF(AND('Personnel Yr 1'!$P$5&gt;0,I32&gt;'Personnel Yr 1'!$P$5),'Personnel Yr 1'!$P$5,I32)*(J32/12)),2),ROUND((IF(AND('Personnel Yr 1'!$P$5&gt;0,I32&gt;'Personnel Yr 1'!$P$5),'Personnel Yr 1'!$P$5,I32)*((K32+L32)/8.5)),2)))),""),"")</f>
        <v/>
      </c>
      <c r="N32" s="39" t="str">
        <f>IF('Personnel Yr 1'!$K$5&gt;4,IF(OR(ISBLANK(M32),M32=""),"",ROUND(SUM(U32:W32),2)),"")</f>
        <v/>
      </c>
      <c r="O32" s="40" t="str">
        <f>IF('Personnel Yr 1'!$K$5&gt;4,IF(OR(ISBLANK(N32),N32=""),"",ROUND(SUM(M32:N32),2)),"")</f>
        <v/>
      </c>
      <c r="P32" s="14"/>
      <c r="Q32" s="335">
        <f>IF('Personnel Yr 1'!$K$5&gt;4,IF(NOT(OR(ISBLANK(J32),J32="")),(I32/12)*J32,""),0)</f>
        <v>0</v>
      </c>
      <c r="R32" s="336">
        <f>IF('Personnel Yr 1'!$K$5&gt;4,IF(NOT(OR(ISBLANK(K32),K32="")),(I32/8.5)*K32,""),0)</f>
        <v>0</v>
      </c>
      <c r="S32" s="335">
        <f>IF('Personnel Yr 1'!$K$5&gt;4,IF(NOT(OR(ISBLANK(L32),L32="")),(I32/8.5)*L32,""),0)</f>
        <v>0</v>
      </c>
      <c r="U32" s="335">
        <f t="shared" si="4"/>
        <v>0</v>
      </c>
      <c r="V32" s="335">
        <f t="shared" si="5"/>
        <v>0</v>
      </c>
      <c r="W32" s="335">
        <f t="shared" si="6"/>
        <v>0</v>
      </c>
      <c r="Y32" s="335">
        <v>32</v>
      </c>
      <c r="Z32" s="335" t="b">
        <f>IF('Personnel Yr 1'!$K$5&gt;4,IF(OR($O$5&lt;&gt;"Federal - NIH",OR(AND(ISBLANK(J32),ISBLANK(K32),ISBLANK(L32)),AND(J32="",K32="",L32=""))),FALSE,IF(J32&gt;0,I32&gt;NIHSalaryCap,I32&gt;(NIHSalaryCap*8.5)/12)),FALSE)</f>
        <v>0</v>
      </c>
    </row>
    <row r="33" spans="1:53" x14ac:dyDescent="0.2">
      <c r="A33" s="4">
        <v>14</v>
      </c>
      <c r="B33" s="5" t="str">
        <f>IF('Personnel Yr 1'!$K$5&gt;4,IF(NOT(OR(ISBLANK('Personnel Yr 4'!B33),'Personnel Yr 4'!B33="")),'Personnel Yr 4'!B33,""),"")</f>
        <v/>
      </c>
      <c r="C33" s="17" t="str">
        <f>IF('Personnel Yr 1'!$K$5&gt;4,IF(ISBLANK('Personnel Yr 4'!C33),"",'Personnel Yr 4'!C33),"")</f>
        <v/>
      </c>
      <c r="D33" s="17" t="str">
        <f>IF('Personnel Yr 1'!$K$5&gt;4,IF(ISBLANK('Personnel Yr 4'!D33),"",'Personnel Yr 4'!D33),"")</f>
        <v/>
      </c>
      <c r="E33" s="17" t="str">
        <f>IF('Personnel Yr 1'!$K$5&gt;4,IF(ISBLANK('Personnel Yr 4'!E33),"",'Personnel Yr 4'!E33),"")</f>
        <v/>
      </c>
      <c r="F33" s="17" t="str">
        <f>IF('Personnel Yr 1'!$K$5&gt;4,IF(ISBLANK('Personnel Yr 4'!F33),"",'Personnel Yr 4'!F33),"")</f>
        <v/>
      </c>
      <c r="G33" s="17" t="str">
        <f>IF('Personnel Yr 1'!$K$5&gt;4,IF(ISBLANK('Personnel Yr 4'!G33),"",'Personnel Yr 4'!G33),"")</f>
        <v/>
      </c>
      <c r="H33" s="17" t="str">
        <f>IF('Personnel Yr 1'!$K$5&gt;4,IF(ISBLANK('Personnel Yr 4'!H33),"",'Personnel Yr 4'!H33),"")</f>
        <v/>
      </c>
      <c r="I33" s="32" t="str">
        <f>IF('Personnel Yr 1'!$K$5&gt;4,IF(NOT(OR(ISBLANK('Personnel Yr 4'!I33),'Personnel Yr 4'!I33="")),(('Personnel Yr 4'!I33*'Personnel Yr 1'!$D$5)+'Personnel Yr 4'!I33),""),"")</f>
        <v/>
      </c>
      <c r="J33" s="17" t="str">
        <f>IF('Personnel Yr 1'!$K$5&gt;4,IF(AND(OR(ISBLANK(I33),I33=""),ISBLANK('Personnel Yr 4'!J33)),"",'Personnel Yr 4'!J33),"")</f>
        <v/>
      </c>
      <c r="K33" s="17" t="str">
        <f>IF('Personnel Yr 1'!$K$5&gt;4,IF(AND(OR(ISBLANK(J33),J33=""),ISBLANK('Personnel Yr 4'!K33)),"",'Personnel Yr 4'!K33),"")</f>
        <v/>
      </c>
      <c r="L33" s="17" t="str">
        <f>IF('Personnel Yr 1'!$K$5&gt;4,IF(AND(OR(ISBLANK(K33),K33=""),ISBLANK('Personnel Yr 4'!L33)),"",'Personnel Yr 4'!L33),"")</f>
        <v/>
      </c>
      <c r="M33" s="34" t="str">
        <f>IF('Personnel Yr 1'!$K$5&gt;4,IF(NOT(OR(ISBLANK(I33),I33="")), IF(OR(AND(ISBLANK(J33),ISBLANK(K33),ISBLANK(L33)),AND(J33="",K33="",L33="")),0, IF((AND((J33&gt;0),((K33+L33)&gt;0))),"Error", IF((J33&gt;0),ROUND((IF(AND('Personnel Yr 1'!$P$5&gt;0,I33&gt;'Personnel Yr 1'!$P$5),'Personnel Yr 1'!$P$5,I33)*(J33/12)),2),ROUND((IF(AND('Personnel Yr 1'!$P$5&gt;0,I33&gt;'Personnel Yr 1'!$P$5),'Personnel Yr 1'!$P$5,I33)*((K33+L33)/8.5)),2)))),""),"")</f>
        <v/>
      </c>
      <c r="N33" s="34" t="str">
        <f>IF('Personnel Yr 1'!$K$5&gt;4,IF(OR(ISBLANK(M33),M33=""),"",ROUND(SUM(U33:W33),2)),"")</f>
        <v/>
      </c>
      <c r="O33" s="41" t="str">
        <f>IF('Personnel Yr 1'!$K$5&gt;4,IF(OR(ISBLANK(N33),N33=""),"",ROUND(SUM(M33:N33),2)),"")</f>
        <v/>
      </c>
      <c r="P33" s="187"/>
      <c r="Q33" s="335">
        <f>IF('Personnel Yr 1'!$K$5&gt;4,IF(NOT(OR(ISBLANK(J33),J33="")),(I33/12)*J33,""),0)</f>
        <v>0</v>
      </c>
      <c r="R33" s="336">
        <f>IF('Personnel Yr 1'!$K$5&gt;4,IF(NOT(OR(ISBLANK(K33),K33="")),(I33/8.5)*K33,""),0)</f>
        <v>0</v>
      </c>
      <c r="S33" s="335">
        <f>IF('Personnel Yr 1'!$K$5&gt;4,IF(NOT(OR(ISBLANK(L33),L33="")),(I33/8.5)*L33,""),0)</f>
        <v>0</v>
      </c>
      <c r="U33" s="335">
        <f t="shared" si="4"/>
        <v>0</v>
      </c>
      <c r="V33" s="335">
        <f t="shared" si="5"/>
        <v>0</v>
      </c>
      <c r="W33" s="335">
        <f t="shared" si="6"/>
        <v>0</v>
      </c>
      <c r="Y33" s="335">
        <v>33</v>
      </c>
      <c r="Z33" s="335" t="b">
        <f>IF('Personnel Yr 1'!$K$5&gt;4,IF(OR($O$5&lt;&gt;"Federal - NIH",OR(AND(ISBLANK(J33),ISBLANK(K33),ISBLANK(L33)),AND(J33="",K33="",L33=""))),FALSE,IF(J33&gt;0,I33&gt;NIHSalaryCap,I33&gt;(NIHSalaryCap*8.5)/12)),FALSE)</f>
        <v>0</v>
      </c>
    </row>
    <row r="34" spans="1:53" ht="12.75" customHeight="1" thickBot="1" x14ac:dyDescent="0.25">
      <c r="A34" s="4">
        <v>15</v>
      </c>
      <c r="B34" s="202" t="str">
        <f>IF('Personnel Yr 1'!$K$5&gt;4,IF(NOT(OR(ISBLANK('Personnel Yr 4'!B34),'Personnel Yr 4'!B34="")),'Personnel Yr 4'!B34,""),"")</f>
        <v/>
      </c>
      <c r="C34" s="22" t="str">
        <f>IF('Personnel Yr 1'!$K$5&gt;4,IF(ISBLANK('Personnel Yr 4'!C34),"",'Personnel Yr 4'!C34),"")</f>
        <v/>
      </c>
      <c r="D34" s="22" t="str">
        <f>IF('Personnel Yr 1'!$K$5&gt;4,IF(ISBLANK('Personnel Yr 4'!D34),"",'Personnel Yr 4'!D34),"")</f>
        <v/>
      </c>
      <c r="E34" s="22" t="str">
        <f>IF('Personnel Yr 1'!$K$5&gt;4,IF(ISBLANK('Personnel Yr 4'!E34),"",'Personnel Yr 4'!E34),"")</f>
        <v/>
      </c>
      <c r="F34" s="22" t="str">
        <f>IF('Personnel Yr 1'!$K$5&gt;4,IF(ISBLANK('Personnel Yr 4'!F34),"",'Personnel Yr 4'!F34),"")</f>
        <v/>
      </c>
      <c r="G34" s="206" t="str">
        <f>IF('Personnel Yr 1'!$K$5&gt;4,IF(ISBLANK('Personnel Yr 4'!G34),"",'Personnel Yr 4'!G34),"")</f>
        <v/>
      </c>
      <c r="H34" s="22" t="str">
        <f>IF('Personnel Yr 1'!$K$5&gt;4,IF(ISBLANK('Personnel Yr 4'!H34),"",'Personnel Yr 4'!H34),"")</f>
        <v/>
      </c>
      <c r="I34" s="33" t="str">
        <f>IF('Personnel Yr 1'!$K$5&gt;4,IF(NOT(OR(ISBLANK('Personnel Yr 4'!I34),'Personnel Yr 4'!I34="")),(('Personnel Yr 4'!I34*'Personnel Yr 1'!$D$5)+'Personnel Yr 4'!I34),""),"")</f>
        <v/>
      </c>
      <c r="J34" s="22" t="str">
        <f>IF('Personnel Yr 1'!$K$5&gt;4,IF(AND(OR(ISBLANK(I34),I34=""),ISBLANK('Personnel Yr 4'!J34)),"",'Personnel Yr 4'!J34),"")</f>
        <v/>
      </c>
      <c r="K34" s="22" t="str">
        <f>IF('Personnel Yr 1'!$K$5&gt;4,IF(AND(OR(ISBLANK(J34),J34=""),ISBLANK('Personnel Yr 4'!K34)),"",'Personnel Yr 4'!K34),"")</f>
        <v/>
      </c>
      <c r="L34" s="22" t="str">
        <f>IF('Personnel Yr 1'!$K$5&gt;4,IF(AND(OR(ISBLANK(K34),K34=""),ISBLANK('Personnel Yr 4'!L34)),"",'Personnel Yr 4'!L34),"")</f>
        <v/>
      </c>
      <c r="M34" s="42" t="str">
        <f>IF('Personnel Yr 1'!$K$5&gt;4,IF(NOT(OR(ISBLANK(I34),I34="")), IF(OR(AND(ISBLANK(J34),ISBLANK(K34),ISBLANK(L34)),AND(J34="",K34="",L34="")),0, IF((AND((J34&gt;0),((K34+L34)&gt;0))),"Error", IF((J34&gt;0),ROUND((IF(AND('Personnel Yr 1'!$P$5&gt;0,I34&gt;'Personnel Yr 1'!$P$5),'Personnel Yr 1'!$P$5,I34)*(J34/12)),2),ROUND((IF(AND('Personnel Yr 1'!$P$5&gt;0,I34&gt;'Personnel Yr 1'!$P$5),'Personnel Yr 1'!$P$5,I34)*((K34+L34)/8.5)),2)))),""),"")</f>
        <v/>
      </c>
      <c r="N34" s="207" t="str">
        <f>IF('Personnel Yr 1'!$K$5&gt;4,IF(OR(ISBLANK(M34),M34=""),"",ROUND(SUM(U34:W34),2)),"")</f>
        <v/>
      </c>
      <c r="O34" s="208" t="str">
        <f>IF('Personnel Yr 1'!$K$5&gt;4,IF(OR(ISBLANK(N34),N34=""),"",ROUND(SUM(M34:N34),2)),"")</f>
        <v/>
      </c>
      <c r="P34" s="189"/>
      <c r="Q34" s="335">
        <f>IF('Personnel Yr 1'!$K$5&gt;4,IF(NOT(OR(ISBLANK(J34),J34="")),(I34/12)*J34,""),0)</f>
        <v>0</v>
      </c>
      <c r="R34" s="336">
        <f>IF('Personnel Yr 1'!$K$5&gt;4,IF(NOT(OR(ISBLANK(K34),K34="")),(I34/8.5)*K34,""),0)</f>
        <v>0</v>
      </c>
      <c r="S34" s="335">
        <f>IF('Personnel Yr 1'!$K$5&gt;4,IF(NOT(OR(ISBLANK(L34),L34="")),(I34/8.5)*L34,""),0)</f>
        <v>0</v>
      </c>
      <c r="U34" s="335">
        <f t="shared" si="4"/>
        <v>0</v>
      </c>
      <c r="V34" s="335">
        <f t="shared" si="5"/>
        <v>0</v>
      </c>
      <c r="W34" s="335">
        <f t="shared" si="6"/>
        <v>0</v>
      </c>
      <c r="Y34" s="335">
        <v>34</v>
      </c>
      <c r="Z34" s="335" t="b">
        <f>IF('Personnel Yr 1'!$K$5&gt;4,IF(OR($O$5&lt;&gt;"Federal - NIH",OR(AND(ISBLANK(J34),ISBLANK(K34),ISBLANK(L34)),AND(J34="",K34="",L34=""))),FALSE,IF(J34&gt;0,I34&gt;NIHSalaryCap,I34&gt;(NIHSalaryCap*8.5)/12)),FALSE)</f>
        <v>0</v>
      </c>
    </row>
    <row r="35" spans="1:53" ht="13.5" thickBot="1" x14ac:dyDescent="0.25">
      <c r="B35" s="20">
        <f>ROWS(E20:E34)-COUNTIF(E20:E34,"")</f>
        <v>0</v>
      </c>
      <c r="O35" s="45">
        <f>SUM(O20:O34)</f>
        <v>0</v>
      </c>
      <c r="Q35" s="335">
        <f>SUM(Q20:Q34)</f>
        <v>0</v>
      </c>
      <c r="R35" s="335">
        <f t="shared" ref="R35:W35" si="7">SUM(R20:R34)</f>
        <v>0</v>
      </c>
      <c r="S35" s="335">
        <f t="shared" si="7"/>
        <v>0</v>
      </c>
      <c r="U35" s="335">
        <f t="shared" si="7"/>
        <v>0</v>
      </c>
      <c r="V35" s="335">
        <f t="shared" si="7"/>
        <v>0</v>
      </c>
      <c r="W35" s="335">
        <f t="shared" si="7"/>
        <v>0</v>
      </c>
    </row>
    <row r="36" spans="1:53" x14ac:dyDescent="0.2">
      <c r="O36" s="330"/>
    </row>
    <row r="37" spans="1:53" x14ac:dyDescent="0.2">
      <c r="B37" s="516" t="s">
        <v>6</v>
      </c>
      <c r="C37" s="516"/>
      <c r="D37" s="545" t="s">
        <v>577</v>
      </c>
      <c r="E37" s="546"/>
      <c r="F37" s="546"/>
      <c r="G37" s="546"/>
      <c r="H37" s="546"/>
      <c r="I37" s="546"/>
      <c r="J37" s="546"/>
      <c r="K37" s="546"/>
      <c r="L37" s="546"/>
      <c r="AF37"/>
      <c r="AG37"/>
      <c r="AH37"/>
      <c r="AI37"/>
      <c r="AJ37"/>
      <c r="AK37"/>
      <c r="AL37"/>
      <c r="AM37"/>
      <c r="AN37"/>
      <c r="AO37"/>
      <c r="AP37"/>
      <c r="AQ37"/>
      <c r="AR37"/>
      <c r="AS37"/>
      <c r="AT37"/>
      <c r="AU37"/>
      <c r="AV37"/>
      <c r="AW37"/>
      <c r="AX37"/>
      <c r="AY37"/>
      <c r="AZ37"/>
      <c r="BA37"/>
    </row>
    <row r="38" spans="1:53" ht="26.25" thickBot="1" x14ac:dyDescent="0.25">
      <c r="B38" s="10" t="s">
        <v>7</v>
      </c>
      <c r="C38" s="11"/>
      <c r="D38" s="11"/>
      <c r="E38" s="11"/>
      <c r="F38" s="11"/>
      <c r="G38" s="11"/>
      <c r="H38" s="404"/>
      <c r="I38" s="2" t="s">
        <v>61</v>
      </c>
      <c r="J38" s="2" t="s">
        <v>56</v>
      </c>
      <c r="K38" s="2" t="s">
        <v>57</v>
      </c>
      <c r="L38" s="2" t="s">
        <v>58</v>
      </c>
      <c r="M38" s="2" t="s">
        <v>41</v>
      </c>
      <c r="N38" s="3" t="s">
        <v>42</v>
      </c>
      <c r="O38" s="3" t="s">
        <v>38</v>
      </c>
      <c r="P38" s="2" t="s">
        <v>224</v>
      </c>
      <c r="AF38"/>
      <c r="AG38"/>
      <c r="AH38"/>
      <c r="AI38"/>
      <c r="AJ38"/>
      <c r="AK38"/>
      <c r="AL38"/>
      <c r="AM38"/>
      <c r="AN38"/>
      <c r="AO38"/>
      <c r="AP38"/>
      <c r="AQ38"/>
      <c r="AR38"/>
      <c r="AS38"/>
      <c r="AT38"/>
      <c r="AU38"/>
      <c r="AV38"/>
      <c r="AW38"/>
      <c r="AX38"/>
      <c r="AY38"/>
      <c r="AZ38"/>
      <c r="BA38"/>
    </row>
    <row r="39" spans="1:53" x14ac:dyDescent="0.2">
      <c r="B39" s="12" t="str">
        <f>IF('Personnel Yr 1'!$K$5&gt;4,IF(OR(ISBLANK('Personnel Yr 4'!B39),'Personnel Yr 4'!B39=""),"",'Personnel Yr 4'!B39),"")</f>
        <v/>
      </c>
      <c r="C39" s="547" t="s">
        <v>538</v>
      </c>
      <c r="D39" s="548"/>
      <c r="E39" s="548"/>
      <c r="F39" s="548"/>
      <c r="G39" s="548"/>
      <c r="H39" s="548"/>
      <c r="I39" s="549"/>
      <c r="J39" s="419" t="str">
        <f>IF('Personnel Yr 1'!$K$5&gt;4,IF(OR(ISBLANK('Personnel Yr 4'!J39),'Personnel Yr 4'!J39=""),"",'Personnel Yr 4'!J39),"")</f>
        <v/>
      </c>
      <c r="K39" s="419" t="str">
        <f>IF('Personnel Yr 1'!$K$5&gt;4,IF(OR(ISBLANK('Personnel Yr 4'!K39),'Personnel Yr 4'!K39=""),"",'Personnel Yr 4'!K39),"")</f>
        <v/>
      </c>
      <c r="L39" s="419" t="str">
        <f>IF('Personnel Yr 1'!$K$5&gt;4,IF(OR(ISBLANK('Personnel Yr 4'!L39),'Personnel Yr 4'!L39=""),"",'Personnel Yr 4'!L39),"")</f>
        <v/>
      </c>
      <c r="M39" s="35" t="str">
        <f t="shared" ref="M39:M48" si="8">IF(COUNTIF($G$53:$G$67,C39)=0,"",SUMIF($G$53:$G$72,C39,$M$53:$M$72))</f>
        <v/>
      </c>
      <c r="N39" s="35" t="str">
        <f>IF(M39="","",ROUND(M39*_xlfn.XLOOKUP("Full",Ben,Per),2))</f>
        <v/>
      </c>
      <c r="O39" s="36" t="str">
        <f t="shared" ref="O39:O48" si="9">IF(M39="","",ROUND(SUM(M39:N39),2))</f>
        <v/>
      </c>
      <c r="P39" s="282"/>
      <c r="AF39"/>
      <c r="AG39"/>
      <c r="AH39"/>
      <c r="AI39"/>
      <c r="AJ39"/>
      <c r="AK39"/>
      <c r="AL39"/>
      <c r="AM39"/>
      <c r="AN39"/>
      <c r="AO39"/>
      <c r="AP39"/>
      <c r="AQ39"/>
      <c r="AR39"/>
      <c r="AS39"/>
      <c r="AT39"/>
      <c r="AU39"/>
      <c r="AV39"/>
      <c r="AW39"/>
      <c r="AX39"/>
      <c r="AY39"/>
      <c r="AZ39"/>
      <c r="BA39"/>
    </row>
    <row r="40" spans="1:53" x14ac:dyDescent="0.2">
      <c r="B40" s="15" t="str">
        <f>IF('Personnel Yr 1'!$K$5&gt;4,IF(OR(ISBLANK('Personnel Yr 4'!B40),'Personnel Yr 4'!B40=""),"",'Personnel Yr 4'!B40),"")</f>
        <v/>
      </c>
      <c r="C40" s="499" t="s">
        <v>529</v>
      </c>
      <c r="D40" s="553"/>
      <c r="E40" s="553"/>
      <c r="F40" s="553"/>
      <c r="G40" s="553"/>
      <c r="H40" s="553"/>
      <c r="I40" s="554"/>
      <c r="J40" s="423" t="str">
        <f>IF('Personnel Yr 1'!$K$5&gt;4,IF(OR(ISBLANK('Personnel Yr 4'!J40),'Personnel Yr 4'!J40=""),"",'Personnel Yr 4'!J40),"")</f>
        <v/>
      </c>
      <c r="K40" s="423" t="str">
        <f>IF('Personnel Yr 1'!$K$5&gt;4,IF(OR(ISBLANK('Personnel Yr 4'!K40),'Personnel Yr 4'!K40=""),"",'Personnel Yr 4'!K40),"")</f>
        <v/>
      </c>
      <c r="L40" s="423" t="str">
        <f>IF('Personnel Yr 1'!$K$5&gt;4,IF(OR(ISBLANK('Personnel Yr 4'!L40),'Personnel Yr 4'!L40=""),"",'Personnel Yr 4'!L40),"")</f>
        <v/>
      </c>
      <c r="M40" s="34" t="str">
        <f t="shared" si="8"/>
        <v/>
      </c>
      <c r="N40" s="34" t="str">
        <f>IF(M40="","",ROUND(M40*_xlfn.XLOOKUP("Full",Ben,Per),2))</f>
        <v/>
      </c>
      <c r="O40" s="41" t="str">
        <f t="shared" si="9"/>
        <v/>
      </c>
      <c r="P40" s="413"/>
      <c r="AF40"/>
      <c r="AG40"/>
      <c r="AH40"/>
      <c r="AI40"/>
      <c r="AJ40"/>
      <c r="AK40"/>
      <c r="AL40"/>
      <c r="AM40"/>
      <c r="AN40"/>
      <c r="AO40"/>
      <c r="AP40"/>
      <c r="AQ40"/>
      <c r="AR40"/>
      <c r="AS40"/>
      <c r="AT40"/>
      <c r="AU40"/>
      <c r="AV40"/>
      <c r="AW40"/>
      <c r="AX40"/>
      <c r="AY40"/>
      <c r="AZ40"/>
      <c r="BA40"/>
    </row>
    <row r="41" spans="1:53" x14ac:dyDescent="0.2">
      <c r="B41" s="15" t="str">
        <f>IF('Personnel Yr 1'!$K$5&gt;4,IF(OR(ISBLANK('Personnel Yr 4'!B41),'Personnel Yr 4'!B41=""),"",'Personnel Yr 4'!B41),"")</f>
        <v/>
      </c>
      <c r="C41" s="499" t="s">
        <v>545</v>
      </c>
      <c r="D41" s="553"/>
      <c r="E41" s="553"/>
      <c r="F41" s="553"/>
      <c r="G41" s="553"/>
      <c r="H41" s="553"/>
      <c r="I41" s="554"/>
      <c r="J41" s="423" t="str">
        <f>IF('Personnel Yr 1'!$K$5&gt;4,IF(OR(ISBLANK('Personnel Yr 4'!J41),'Personnel Yr 4'!J41=""),"",'Personnel Yr 4'!J41),"")</f>
        <v/>
      </c>
      <c r="K41" s="423" t="str">
        <f>IF('Personnel Yr 1'!$K$5&gt;4,IF(OR(ISBLANK('Personnel Yr 4'!K41),'Personnel Yr 4'!K41=""),"",'Personnel Yr 4'!K41),"")</f>
        <v/>
      </c>
      <c r="L41" s="423" t="str">
        <f>IF('Personnel Yr 1'!$K$5&gt;4,IF(OR(ISBLANK('Personnel Yr 4'!L41),'Personnel Yr 4'!L41=""),"",'Personnel Yr 4'!L41),"")</f>
        <v/>
      </c>
      <c r="M41" s="34" t="str">
        <f t="shared" si="8"/>
        <v/>
      </c>
      <c r="N41" s="34" t="str">
        <f>IF(M41="","",ROUND(M41*_xlfn.XLOOKUP("Temp",Ben,Per),2))</f>
        <v/>
      </c>
      <c r="O41" s="41" t="str">
        <f t="shared" si="9"/>
        <v/>
      </c>
      <c r="P41" s="413"/>
      <c r="AF41"/>
      <c r="AG41"/>
      <c r="AH41"/>
      <c r="AI41"/>
      <c r="AJ41"/>
      <c r="AK41"/>
      <c r="AL41"/>
      <c r="AM41"/>
      <c r="AN41"/>
      <c r="AO41"/>
      <c r="AP41"/>
      <c r="AQ41"/>
      <c r="AR41"/>
      <c r="AS41"/>
      <c r="AT41"/>
      <c r="AU41"/>
      <c r="AV41"/>
      <c r="AW41"/>
      <c r="AX41"/>
      <c r="AY41"/>
      <c r="AZ41"/>
      <c r="BA41"/>
    </row>
    <row r="42" spans="1:53" x14ac:dyDescent="0.2">
      <c r="B42" s="15" t="str">
        <f>IF('Personnel Yr 1'!$K$5&gt;4,IF(OR(ISBLANK('Personnel Yr 4'!B42),'Personnel Yr 4'!B42=""),"",'Personnel Yr 4'!B42),"")</f>
        <v/>
      </c>
      <c r="C42" s="511" t="s">
        <v>584</v>
      </c>
      <c r="D42" s="500"/>
      <c r="E42" s="500"/>
      <c r="F42" s="500"/>
      <c r="G42" s="500"/>
      <c r="H42" s="500"/>
      <c r="I42" s="512"/>
      <c r="J42" s="423" t="str">
        <f>IF('Personnel Yr 1'!$K$5&gt;4,IF(OR(ISBLANK('Personnel Yr 4'!J42),'Personnel Yr 4'!J42=""),"",'Personnel Yr 4'!J42),"")</f>
        <v/>
      </c>
      <c r="K42" s="423" t="str">
        <f>IF('Personnel Yr 1'!$K$5&gt;4,IF(OR(ISBLANK('Personnel Yr 4'!K42),'Personnel Yr 4'!K42=""),"",'Personnel Yr 4'!K42),"")</f>
        <v/>
      </c>
      <c r="L42" s="423" t="str">
        <f>IF('Personnel Yr 1'!$K$5&gt;4,IF(OR(ISBLANK('Personnel Yr 4'!L42),'Personnel Yr 4'!L42=""),"",'Personnel Yr 4'!L42),"")</f>
        <v/>
      </c>
      <c r="M42" s="34" t="str">
        <f t="shared" si="8"/>
        <v/>
      </c>
      <c r="N42" s="39" t="str">
        <f>IF(M42="","",ROUND(M42*_xlfn.XLOOKUP("Full",Ben,Per),2))</f>
        <v/>
      </c>
      <c r="O42" s="40" t="str">
        <f t="shared" si="9"/>
        <v/>
      </c>
      <c r="P42" s="283"/>
      <c r="AF42"/>
      <c r="AG42"/>
      <c r="AH42"/>
      <c r="AI42"/>
      <c r="AJ42"/>
      <c r="AK42"/>
      <c r="AL42"/>
      <c r="AM42"/>
      <c r="AN42"/>
      <c r="AO42"/>
      <c r="AP42"/>
      <c r="AQ42"/>
      <c r="AR42"/>
      <c r="AS42"/>
      <c r="AT42"/>
      <c r="AU42"/>
      <c r="AV42"/>
      <c r="AW42"/>
      <c r="AX42"/>
      <c r="AY42"/>
      <c r="AZ42"/>
      <c r="BA42"/>
    </row>
    <row r="43" spans="1:53" x14ac:dyDescent="0.2">
      <c r="B43" s="15" t="str">
        <f>IF('Personnel Yr 1'!$K$5&gt;4,IF(OR(ISBLANK('Personnel Yr 4'!B43),'Personnel Yr 4'!B43=""),"",'Personnel Yr 4'!B43),"")</f>
        <v/>
      </c>
      <c r="C43" s="499" t="s">
        <v>578</v>
      </c>
      <c r="D43" s="500"/>
      <c r="E43" s="500"/>
      <c r="F43" s="500"/>
      <c r="G43" s="393"/>
      <c r="H43" s="393"/>
      <c r="I43" s="16" t="str">
        <f>IF('Personnel Yr 1'!$K$5&gt;4,IF(OR(ISBLANK('Personnel Yr 4'!I43),'Personnel Yr 4'!I43=""),"",'Personnel Yr 4'!I43),"")</f>
        <v/>
      </c>
      <c r="J43" s="423" t="str">
        <f>IF('Personnel Yr 1'!$K$5&gt;4,IF(OR(ISBLANK('Personnel Yr 4'!J43),'Personnel Yr 4'!J43=""),"",'Personnel Yr 4'!J43),"")</f>
        <v/>
      </c>
      <c r="K43" s="423" t="str">
        <f>IF('Personnel Yr 1'!$K$5&gt;4,IF(OR(ISBLANK('Personnel Yr 4'!K43),'Personnel Yr 4'!K43=""),"",'Personnel Yr 4'!K43),"")</f>
        <v/>
      </c>
      <c r="L43" s="423" t="str">
        <f>IF('Personnel Yr 1'!$K$5&gt;4,IF(OR(ISBLANK('Personnel Yr 4'!L43),'Personnel Yr 4'!L43=""),"",'Personnel Yr 4'!L43),"")</f>
        <v/>
      </c>
      <c r="M43" s="34" t="str">
        <f t="shared" si="8"/>
        <v/>
      </c>
      <c r="N43" s="37" t="str">
        <f>IF(M43="","",ROUND(M43*_xlfn.XLOOKUP(I43,Grad,GradR),2))</f>
        <v/>
      </c>
      <c r="O43" s="40" t="str">
        <f t="shared" si="9"/>
        <v/>
      </c>
      <c r="P43" s="283"/>
      <c r="AF43"/>
      <c r="AG43"/>
      <c r="AH43"/>
      <c r="AI43"/>
      <c r="AJ43"/>
      <c r="AK43"/>
      <c r="AL43"/>
      <c r="AM43"/>
      <c r="AN43"/>
      <c r="AO43"/>
      <c r="AP43"/>
      <c r="AQ43"/>
      <c r="AR43"/>
      <c r="AS43"/>
      <c r="AT43"/>
      <c r="AU43"/>
      <c r="AV43"/>
      <c r="AW43"/>
      <c r="AX43"/>
      <c r="AY43"/>
      <c r="AZ43"/>
      <c r="BA43"/>
    </row>
    <row r="44" spans="1:53" x14ac:dyDescent="0.2">
      <c r="B44" s="15" t="str">
        <f>IF('Personnel Yr 1'!$K$5&gt;4,IF(OR(ISBLANK('Personnel Yr 4'!B44),'Personnel Yr 4'!B44=""),"",'Personnel Yr 4'!B44),"")</f>
        <v/>
      </c>
      <c r="C44" s="511" t="s">
        <v>583</v>
      </c>
      <c r="D44" s="500"/>
      <c r="E44" s="500"/>
      <c r="F44" s="500"/>
      <c r="G44" s="500"/>
      <c r="H44" s="500"/>
      <c r="I44" s="501"/>
      <c r="J44" s="423" t="str">
        <f>IF('Personnel Yr 1'!$K$5&gt;4,IF(OR(ISBLANK('Personnel Yr 4'!J44),'Personnel Yr 4'!J44=""),"",'Personnel Yr 4'!J44),"")</f>
        <v/>
      </c>
      <c r="K44" s="423" t="str">
        <f>IF('Personnel Yr 1'!$K$5&gt;4,IF(OR(ISBLANK('Personnel Yr 4'!K44),'Personnel Yr 4'!K44=""),"",'Personnel Yr 4'!K44),"")</f>
        <v/>
      </c>
      <c r="L44" s="423" t="str">
        <f>IF('Personnel Yr 1'!$K$5&gt;4,IF(OR(ISBLANK('Personnel Yr 4'!L44),'Personnel Yr 4'!L44=""),"",'Personnel Yr 4'!L44),"")</f>
        <v/>
      </c>
      <c r="M44" s="34" t="str">
        <f t="shared" si="8"/>
        <v/>
      </c>
      <c r="N44" s="37" t="str">
        <f>IF(M44="","",ROUND(M44*_xlfn.XLOOKUP("Temp",Ben,Per),2))</f>
        <v/>
      </c>
      <c r="O44" s="40" t="str">
        <f t="shared" si="9"/>
        <v/>
      </c>
      <c r="P44" s="283"/>
      <c r="AF44"/>
      <c r="AG44"/>
      <c r="AH44"/>
      <c r="AI44"/>
      <c r="AJ44"/>
      <c r="AK44"/>
      <c r="AL44"/>
      <c r="AM44"/>
      <c r="AN44"/>
      <c r="AO44"/>
      <c r="AP44"/>
      <c r="AQ44"/>
      <c r="AR44"/>
      <c r="AS44"/>
      <c r="AT44"/>
      <c r="AU44"/>
      <c r="AV44"/>
      <c r="AW44"/>
      <c r="AX44"/>
      <c r="AY44"/>
      <c r="AZ44"/>
      <c r="BA44"/>
    </row>
    <row r="45" spans="1:53" x14ac:dyDescent="0.2">
      <c r="B45" s="15" t="str">
        <f>IF('Personnel Yr 1'!$K$5&gt;4,IF(OR(ISBLANK('Personnel Yr 4'!B45),'Personnel Yr 4'!B45=""),"",'Personnel Yr 4'!B45),"")</f>
        <v/>
      </c>
      <c r="C45" s="499" t="s">
        <v>537</v>
      </c>
      <c r="D45" s="500"/>
      <c r="E45" s="500"/>
      <c r="F45" s="500"/>
      <c r="G45" s="500"/>
      <c r="H45" s="500"/>
      <c r="I45" s="501"/>
      <c r="J45" s="423" t="str">
        <f>IF('Personnel Yr 1'!$K$5&gt;4,IF(OR(ISBLANK('Personnel Yr 4'!J45),'Personnel Yr 4'!J45=""),"",'Personnel Yr 4'!J45),"")</f>
        <v/>
      </c>
      <c r="K45" s="423" t="str">
        <f>IF('Personnel Yr 1'!$K$5&gt;4,IF(OR(ISBLANK('Personnel Yr 4'!K45),'Personnel Yr 4'!K45=""),"",'Personnel Yr 4'!K45),"")</f>
        <v/>
      </c>
      <c r="L45" s="423" t="str">
        <f>IF('Personnel Yr 1'!$K$5&gt;4,IF(OR(ISBLANK('Personnel Yr 4'!L45),'Personnel Yr 4'!L45=""),"",'Personnel Yr 4'!L45),"")</f>
        <v/>
      </c>
      <c r="M45" s="34" t="str">
        <f t="shared" si="8"/>
        <v/>
      </c>
      <c r="N45" s="37" t="str">
        <f>IF(M45="","",ROUND(M45*_xlfn.XLOOKUP("Full",Ben,Per),2))</f>
        <v/>
      </c>
      <c r="O45" s="40" t="str">
        <f t="shared" si="9"/>
        <v/>
      </c>
      <c r="P45" s="283"/>
      <c r="AF45"/>
      <c r="AG45"/>
      <c r="AH45"/>
      <c r="AI45"/>
      <c r="AJ45"/>
      <c r="AK45"/>
      <c r="AL45"/>
      <c r="AM45"/>
      <c r="AN45"/>
      <c r="AO45"/>
      <c r="AP45"/>
      <c r="AQ45"/>
      <c r="AR45"/>
      <c r="AS45"/>
      <c r="AT45"/>
      <c r="AU45"/>
      <c r="AV45"/>
      <c r="AW45"/>
      <c r="AX45"/>
      <c r="AY45"/>
      <c r="AZ45"/>
      <c r="BA45"/>
    </row>
    <row r="46" spans="1:53" x14ac:dyDescent="0.2">
      <c r="B46" s="15" t="str">
        <f>IF('Personnel Yr 1'!$K$5&gt;4,IF(OR(ISBLANK('Personnel Yr 4'!B46),'Personnel Yr 4'!B46=""),"",'Personnel Yr 4'!B46),"")</f>
        <v/>
      </c>
      <c r="C46" s="499" t="s">
        <v>445</v>
      </c>
      <c r="D46" s="500"/>
      <c r="E46" s="500"/>
      <c r="F46" s="500"/>
      <c r="G46" s="500"/>
      <c r="H46" s="500"/>
      <c r="I46" s="501"/>
      <c r="J46" s="423" t="str">
        <f>IF('Personnel Yr 1'!$K$5&gt;4,IF(OR(ISBLANK('Personnel Yr 4'!J46),'Personnel Yr 4'!J46=""),"",'Personnel Yr 4'!J46),"")</f>
        <v/>
      </c>
      <c r="K46" s="423" t="str">
        <f>IF('Personnel Yr 1'!$K$5&gt;4,IF(OR(ISBLANK('Personnel Yr 4'!K46),'Personnel Yr 4'!K46=""),"",'Personnel Yr 4'!K46),"")</f>
        <v/>
      </c>
      <c r="L46" s="423" t="str">
        <f>IF('Personnel Yr 1'!$K$5&gt;4,IF(OR(ISBLANK('Personnel Yr 4'!L46),'Personnel Yr 4'!L46=""),"",'Personnel Yr 4'!L46),"")</f>
        <v/>
      </c>
      <c r="M46" s="34" t="str">
        <f t="shared" si="8"/>
        <v/>
      </c>
      <c r="N46" s="34" t="str">
        <f>IF(M46="","",ROUND(M46*_xlfn.XLOOKUP("Temp",Ben,Per),2))</f>
        <v/>
      </c>
      <c r="O46" s="41" t="str">
        <f t="shared" si="9"/>
        <v/>
      </c>
      <c r="P46" s="268"/>
      <c r="AF46"/>
      <c r="AG46"/>
      <c r="AH46"/>
      <c r="AI46"/>
      <c r="AJ46"/>
      <c r="AK46"/>
      <c r="AL46"/>
      <c r="AM46"/>
      <c r="AN46"/>
      <c r="AO46"/>
      <c r="AP46"/>
      <c r="AQ46"/>
      <c r="AR46"/>
      <c r="AS46"/>
      <c r="AT46"/>
      <c r="AU46"/>
      <c r="AV46"/>
      <c r="AW46"/>
      <c r="AX46"/>
      <c r="AY46"/>
      <c r="AZ46"/>
      <c r="BA46"/>
    </row>
    <row r="47" spans="1:53" x14ac:dyDescent="0.2">
      <c r="B47" s="15" t="str">
        <f>IF('Personnel Yr 1'!$K$5&gt;4,IF(OR(ISBLANK('Personnel Yr 4'!B47),'Personnel Yr 4'!B47=""),"",'Personnel Yr 4'!B47),"")</f>
        <v/>
      </c>
      <c r="C47" s="566" t="s">
        <v>407</v>
      </c>
      <c r="D47" s="520"/>
      <c r="E47" s="520"/>
      <c r="F47" s="520"/>
      <c r="G47" s="520"/>
      <c r="H47" s="520"/>
      <c r="I47" s="520"/>
      <c r="J47" s="423" t="str">
        <f>IF('Personnel Yr 1'!$K$5&gt;4,IF(OR(ISBLANK('Personnel Yr 4'!J47),'Personnel Yr 4'!J47=""),"",'Personnel Yr 4'!J47),"")</f>
        <v/>
      </c>
      <c r="K47" s="423" t="str">
        <f>IF('Personnel Yr 1'!$K$5&gt;4,IF(OR(ISBLANK('Personnel Yr 4'!K47),'Personnel Yr 4'!K47=""),"",'Personnel Yr 4'!K47),"")</f>
        <v/>
      </c>
      <c r="L47" s="423" t="str">
        <f>IF('Personnel Yr 1'!$K$5&gt;4,IF(OR(ISBLANK('Personnel Yr 4'!L47),'Personnel Yr 4'!L47=""),"",'Personnel Yr 4'!L47),"")</f>
        <v/>
      </c>
      <c r="M47" s="34" t="str">
        <f t="shared" si="8"/>
        <v/>
      </c>
      <c r="N47" s="34" t="str">
        <f>IF(M47="","",ROUND(M47*_xlfn.XLOOKUP("Temp",Ben,Per),2))</f>
        <v/>
      </c>
      <c r="O47" s="41" t="str">
        <f t="shared" si="9"/>
        <v/>
      </c>
      <c r="P47" s="268"/>
      <c r="AF47"/>
      <c r="AG47"/>
      <c r="AH47"/>
      <c r="AI47"/>
      <c r="AJ47"/>
      <c r="AK47"/>
      <c r="AL47"/>
      <c r="AM47"/>
      <c r="AN47"/>
      <c r="AO47"/>
      <c r="AP47"/>
      <c r="AQ47"/>
      <c r="AR47"/>
      <c r="AS47"/>
      <c r="AT47"/>
      <c r="AU47"/>
      <c r="AV47"/>
      <c r="AW47"/>
      <c r="AX47"/>
      <c r="AY47"/>
      <c r="AZ47"/>
      <c r="BA47"/>
    </row>
    <row r="48" spans="1:53" ht="13.5" thickBot="1" x14ac:dyDescent="0.25">
      <c r="B48" s="189" t="str">
        <f>IF('Personnel Yr 1'!$K$5&gt;4,IF(OR(ISBLANK('Personnel Yr 4'!B48),'Personnel Yr 4'!B48=""),"",'Personnel Yr 4'!B48),"")</f>
        <v/>
      </c>
      <c r="C48" s="567" t="s">
        <v>408</v>
      </c>
      <c r="D48" s="522"/>
      <c r="E48" s="522"/>
      <c r="F48" s="522"/>
      <c r="G48" s="522"/>
      <c r="H48" s="522"/>
      <c r="I48" s="522"/>
      <c r="J48" s="424" t="str">
        <f>IF('Personnel Yr 1'!$K$5&gt;4,IF(OR(ISBLANK('Personnel Yr 4'!J48),'Personnel Yr 4'!J48=""),"",'Personnel Yr 4'!J48),"")</f>
        <v/>
      </c>
      <c r="K48" s="424" t="str">
        <f>IF('Personnel Yr 1'!$K$5&gt;4,IF(OR(ISBLANK('Personnel Yr 4'!K48),'Personnel Yr 4'!K48=""),"",'Personnel Yr 4'!K48),"")</f>
        <v/>
      </c>
      <c r="L48" s="424" t="str">
        <f>IF('Personnel Yr 1'!$K$5&gt;4,IF(OR(ISBLANK('Personnel Yr 4'!L48),'Personnel Yr 4'!L48=""),"",'Personnel Yr 4'!L48),"")</f>
        <v/>
      </c>
      <c r="M48" s="42" t="str">
        <f t="shared" si="8"/>
        <v/>
      </c>
      <c r="N48" s="42" t="str">
        <f>IF(M48="","",ROUND(M48*_xlfn.XLOOKUP("Adjunct",Ben,Per),2))</f>
        <v/>
      </c>
      <c r="O48" s="285" t="str">
        <f t="shared" si="9"/>
        <v/>
      </c>
      <c r="P48" s="284"/>
      <c r="AF48"/>
      <c r="AG48"/>
      <c r="AH48"/>
      <c r="AI48"/>
      <c r="AJ48"/>
      <c r="AK48"/>
      <c r="AL48"/>
      <c r="AM48"/>
      <c r="AN48"/>
      <c r="AO48"/>
      <c r="AP48"/>
      <c r="AQ48"/>
      <c r="AR48"/>
      <c r="AS48"/>
      <c r="AT48"/>
      <c r="AU48"/>
      <c r="AV48"/>
      <c r="AW48"/>
      <c r="AX48"/>
      <c r="AY48"/>
      <c r="AZ48"/>
      <c r="BA48"/>
    </row>
    <row r="49" spans="1:53" ht="13.5" thickBot="1" x14ac:dyDescent="0.25">
      <c r="B49" s="20">
        <f>SUM(B39:B46)</f>
        <v>0</v>
      </c>
      <c r="C49" s="563" t="s">
        <v>8</v>
      </c>
      <c r="D49" s="540"/>
      <c r="E49" s="540"/>
      <c r="F49" s="540"/>
      <c r="G49" s="18"/>
      <c r="H49" s="18"/>
      <c r="I49" s="18"/>
      <c r="J49" s="543" t="s">
        <v>9</v>
      </c>
      <c r="K49" s="564"/>
      <c r="L49" s="564"/>
      <c r="M49" s="564"/>
      <c r="N49" s="565"/>
      <c r="O49" s="45">
        <f>ROUND(SUM(O39:O48),2)</f>
        <v>0</v>
      </c>
      <c r="AF49"/>
      <c r="AG49"/>
      <c r="AH49"/>
      <c r="AI49"/>
      <c r="AJ49"/>
      <c r="AK49"/>
      <c r="AL49"/>
      <c r="AM49"/>
      <c r="AN49"/>
      <c r="AO49"/>
      <c r="AP49"/>
      <c r="AQ49"/>
      <c r="AR49"/>
      <c r="AS49"/>
      <c r="AT49"/>
      <c r="AU49"/>
      <c r="AV49"/>
      <c r="AW49"/>
      <c r="AX49"/>
      <c r="AY49"/>
      <c r="AZ49"/>
      <c r="BA49"/>
    </row>
    <row r="50" spans="1:53" ht="13.5" thickBot="1" x14ac:dyDescent="0.25">
      <c r="I50" s="8"/>
      <c r="J50" s="513" t="s">
        <v>10</v>
      </c>
      <c r="K50" s="513"/>
      <c r="L50" s="513"/>
      <c r="M50" s="513"/>
      <c r="N50" s="514"/>
      <c r="O50" s="38">
        <f>ROUND(SUM(O16,O49),2)</f>
        <v>0</v>
      </c>
      <c r="AF50"/>
      <c r="AG50"/>
      <c r="AH50"/>
      <c r="AI50"/>
      <c r="AJ50"/>
      <c r="AK50"/>
      <c r="AL50"/>
      <c r="AM50"/>
      <c r="AN50"/>
      <c r="AO50"/>
      <c r="AP50"/>
      <c r="AQ50"/>
      <c r="AR50"/>
      <c r="AS50"/>
      <c r="AT50"/>
      <c r="AU50"/>
      <c r="AV50"/>
      <c r="AW50"/>
      <c r="AX50"/>
      <c r="AY50"/>
      <c r="AZ50"/>
      <c r="BA50"/>
    </row>
    <row r="51" spans="1:53" x14ac:dyDescent="0.2">
      <c r="B51" s="498" t="s">
        <v>525</v>
      </c>
      <c r="C51" s="498"/>
      <c r="D51" s="498"/>
      <c r="AF51"/>
      <c r="AG51"/>
      <c r="AH51"/>
      <c r="AI51"/>
      <c r="AJ51"/>
      <c r="AK51"/>
      <c r="AL51"/>
      <c r="AM51"/>
      <c r="AN51"/>
      <c r="AO51"/>
      <c r="AP51"/>
      <c r="AQ51"/>
      <c r="AR51"/>
      <c r="AS51"/>
      <c r="AT51"/>
      <c r="AU51"/>
      <c r="AV51"/>
      <c r="AW51"/>
      <c r="AX51"/>
      <c r="AY51"/>
      <c r="AZ51"/>
      <c r="BA51"/>
    </row>
    <row r="52" spans="1:53" ht="26.25" thickBot="1" x14ac:dyDescent="0.25">
      <c r="B52" s="2" t="s">
        <v>0</v>
      </c>
      <c r="C52" s="2" t="s">
        <v>1</v>
      </c>
      <c r="D52" s="2" t="s">
        <v>2</v>
      </c>
      <c r="E52" s="2" t="s">
        <v>3</v>
      </c>
      <c r="F52" s="2" t="s">
        <v>4</v>
      </c>
      <c r="G52" s="2" t="s">
        <v>39</v>
      </c>
      <c r="H52" s="2"/>
      <c r="I52" s="2"/>
      <c r="J52" s="3" t="s">
        <v>56</v>
      </c>
      <c r="K52" s="3" t="s">
        <v>57</v>
      </c>
      <c r="L52" s="2" t="s">
        <v>58</v>
      </c>
      <c r="M52" s="2" t="s">
        <v>41</v>
      </c>
      <c r="N52" s="2" t="s">
        <v>42</v>
      </c>
      <c r="O52" s="2" t="s">
        <v>38</v>
      </c>
      <c r="P52" s="493" t="s">
        <v>240</v>
      </c>
      <c r="Q52" s="493"/>
      <c r="AF52"/>
      <c r="AG52"/>
      <c r="AH52"/>
      <c r="AI52"/>
      <c r="AJ52"/>
      <c r="AK52"/>
      <c r="AL52"/>
      <c r="AM52"/>
      <c r="AN52"/>
      <c r="AO52"/>
      <c r="AP52"/>
      <c r="AQ52"/>
      <c r="AR52"/>
      <c r="AS52"/>
      <c r="AT52"/>
      <c r="AU52"/>
      <c r="AV52"/>
      <c r="AW52"/>
      <c r="AX52"/>
      <c r="AY52"/>
      <c r="AZ52"/>
      <c r="BA52"/>
    </row>
    <row r="53" spans="1:53" x14ac:dyDescent="0.2">
      <c r="A53" s="4">
        <v>1</v>
      </c>
      <c r="B53" s="21" t="str">
        <f>IF('Personnel Yr 1'!$K$5&gt;4,IF(ISBLANK('Personnel Yr 4'!B53),"",'Personnel Yr 4'!B53),"")</f>
        <v/>
      </c>
      <c r="C53" s="13" t="str">
        <f>IF('Personnel Yr 1'!$K$5&gt;4,IF(ISBLANK('Personnel Yr 4'!C53),"",'Personnel Yr 4'!C53),"")</f>
        <v/>
      </c>
      <c r="D53" s="13" t="str">
        <f>IF('Personnel Yr 1'!$K$5&gt;4,IF(ISBLANK('Personnel Yr 4'!D53),"",'Personnel Yr 4'!D53),"")</f>
        <v/>
      </c>
      <c r="E53" s="13" t="str">
        <f>IF('Personnel Yr 1'!$K$5&gt;4,IF(ISBLANK('Personnel Yr 4'!E53),"",'Personnel Yr 4'!E53),"")</f>
        <v/>
      </c>
      <c r="F53" s="13" t="str">
        <f>IF('Personnel Yr 1'!$K$5&gt;4,IF(ISBLANK('Personnel Yr 4'!F53),"",'Personnel Yr 4'!F53),"")</f>
        <v/>
      </c>
      <c r="G53" s="507" t="str">
        <f>IF('Personnel Yr 1'!$K$5&gt;4,IF(ISBLANK('Personnel Yr 4'!G53),"",'Personnel Yr 4'!G53),"")</f>
        <v/>
      </c>
      <c r="H53" s="508"/>
      <c r="I53" s="509"/>
      <c r="J53" s="13" t="str">
        <f>IF('Personnel Yr 1'!$K$5&gt;4,IF(AND(OR(ISBLANK($I53),$I53=""),ISBLANK('Personnel Yr 4'!J53)),"",'Personnel Yr 4'!J53),"")</f>
        <v/>
      </c>
      <c r="K53" s="13" t="str">
        <f>IF('Personnel Yr 1'!$K$5&gt;4,IF(AND(OR(ISBLANK($I53),$I53=""),ISBLANK('Personnel Yr 4'!K53)),"",'Personnel Yr 4'!K53),"")</f>
        <v/>
      </c>
      <c r="L53" s="13" t="str">
        <f>IF('Personnel Yr 1'!$K$5&gt;4,IF(AND(OR(ISBLANK($I53),$I53=""),ISBLANK('Personnel Yr 4'!L53)),"",'Personnel Yr 4'!L53),"")</f>
        <v/>
      </c>
      <c r="M53" s="204" t="str">
        <f>IF('Personnel Yr 1'!$K$5&gt;4,IF(AND(NOT(ISBLANK('Personnel Yr 4'!M53)),'Personnel Yr 4'!M53&lt;&gt;""),(('Personnel Yr 4'!M53*'Personnel Yr 1'!$D$5)+'Personnel Yr 4'!M53),""),"")</f>
        <v/>
      </c>
      <c r="N53" s="35" t="str">
        <f t="shared" ref="N53:N72" si="10">IF(M53="","",ROUND(M53*IF(G53="Graduate Assistants", _xlfn.XLOOKUP($I$43,Grad,GradR),_xlfn.XLOOKUP("*"&amp;G53&amp;"*",BenB,Per,,2)),2))</f>
        <v/>
      </c>
      <c r="O53" s="36" t="str">
        <f>IF(M53="","",ROUND(SUM(M53:N53),2))</f>
        <v/>
      </c>
      <c r="P53" s="12"/>
      <c r="AF53"/>
      <c r="AG53"/>
      <c r="AH53"/>
      <c r="AI53"/>
      <c r="AJ53"/>
      <c r="AK53"/>
      <c r="AL53"/>
      <c r="AM53"/>
      <c r="AN53"/>
      <c r="AO53"/>
      <c r="AP53"/>
      <c r="AQ53"/>
      <c r="AR53"/>
      <c r="AS53"/>
      <c r="AT53"/>
      <c r="AU53"/>
      <c r="AV53"/>
      <c r="AW53"/>
      <c r="AX53"/>
      <c r="AY53"/>
      <c r="AZ53"/>
      <c r="BA53"/>
    </row>
    <row r="54" spans="1:53" x14ac:dyDescent="0.2">
      <c r="A54" s="4">
        <v>2</v>
      </c>
      <c r="B54" s="5" t="str">
        <f>IF('Personnel Yr 1'!$K$5&gt;4,IF(ISBLANK('Personnel Yr 4'!B54),"",'Personnel Yr 4'!B54),"")</f>
        <v/>
      </c>
      <c r="C54" s="17" t="str">
        <f>IF('Personnel Yr 1'!$K$5&gt;4,IF(ISBLANK('Personnel Yr 4'!C54),"",'Personnel Yr 4'!C54),"")</f>
        <v/>
      </c>
      <c r="D54" s="17" t="str">
        <f>IF('Personnel Yr 1'!$K$5&gt;4,IF(ISBLANK('Personnel Yr 4'!D54),"",'Personnel Yr 4'!D54),"")</f>
        <v/>
      </c>
      <c r="E54" s="17" t="str">
        <f>IF('Personnel Yr 1'!$K$5&gt;4,IF(ISBLANK('Personnel Yr 4'!E54),"",'Personnel Yr 4'!E54),"")</f>
        <v/>
      </c>
      <c r="F54" s="17" t="str">
        <f>IF('Personnel Yr 1'!$K$5&gt;4,IF(ISBLANK('Personnel Yr 4'!F54),"",'Personnel Yr 4'!F54),"")</f>
        <v/>
      </c>
      <c r="G54" s="483" t="str">
        <f>IF('Personnel Yr 1'!$K$5&gt;4,IF(ISBLANK('Personnel Yr 4'!G54),"",'Personnel Yr 4'!G54),"")</f>
        <v/>
      </c>
      <c r="H54" s="484"/>
      <c r="I54" s="485"/>
      <c r="J54" s="17" t="str">
        <f>IF('Personnel Yr 1'!$K$5&gt;4,IF(AND(OR(ISBLANK($I54),$I54=""),ISBLANK('Personnel Yr 4'!J54)),"",'Personnel Yr 4'!J54),"")</f>
        <v/>
      </c>
      <c r="K54" s="17" t="str">
        <f>IF('Personnel Yr 1'!$K$5&gt;4,IF(AND(OR(ISBLANK($I54),$I54=""),ISBLANK('Personnel Yr 4'!K54)),"",'Personnel Yr 4'!K54),"")</f>
        <v/>
      </c>
      <c r="L54" s="17" t="str">
        <f>IF('Personnel Yr 1'!$K$5&gt;4,IF(AND(OR(ISBLANK($I54),$I54=""),ISBLANK('Personnel Yr 4'!L54)),"",'Personnel Yr 4'!L54),"")</f>
        <v/>
      </c>
      <c r="M54" s="32" t="str">
        <f>IF('Personnel Yr 1'!$K$5&gt;4,IF(AND(NOT(ISBLANK('Personnel Yr 4'!M54)),'Personnel Yr 4'!M54&lt;&gt;""),(('Personnel Yr 4'!M54*'Personnel Yr 1'!$D$5)+'Personnel Yr 4'!M54),""),"")</f>
        <v/>
      </c>
      <c r="N54" s="34" t="str">
        <f t="shared" si="10"/>
        <v/>
      </c>
      <c r="O54" s="40" t="str">
        <f t="shared" ref="O54:O72" si="11">IF(M54="","",ROUND(SUM(M54:N54),2))</f>
        <v/>
      </c>
      <c r="P54" s="15"/>
      <c r="AF54"/>
      <c r="AG54"/>
      <c r="AH54"/>
      <c r="AI54"/>
      <c r="AJ54"/>
      <c r="AK54"/>
      <c r="AL54"/>
      <c r="AM54"/>
      <c r="AN54"/>
      <c r="AO54"/>
      <c r="AP54"/>
      <c r="AQ54"/>
      <c r="AR54"/>
      <c r="AS54"/>
      <c r="AT54"/>
      <c r="AU54"/>
      <c r="AV54"/>
      <c r="AW54"/>
      <c r="AX54"/>
      <c r="AY54"/>
      <c r="AZ54"/>
      <c r="BA54"/>
    </row>
    <row r="55" spans="1:53" x14ac:dyDescent="0.2">
      <c r="A55" s="4">
        <v>3</v>
      </c>
      <c r="B55" s="5" t="str">
        <f>IF('Personnel Yr 1'!$K$5&gt;4,IF(ISBLANK('Personnel Yr 4'!B55),"",'Personnel Yr 4'!B55),"")</f>
        <v/>
      </c>
      <c r="C55" s="17" t="str">
        <f>IF('Personnel Yr 1'!$K$5&gt;4,IF(ISBLANK('Personnel Yr 4'!C55),"",'Personnel Yr 4'!C55),"")</f>
        <v/>
      </c>
      <c r="D55" s="17" t="str">
        <f>IF('Personnel Yr 1'!$K$5&gt;4,IF(ISBLANK('Personnel Yr 4'!D55),"",'Personnel Yr 4'!D55),"")</f>
        <v/>
      </c>
      <c r="E55" s="17" t="str">
        <f>IF('Personnel Yr 1'!$K$5&gt;4,IF(ISBLANK('Personnel Yr 4'!E55),"",'Personnel Yr 4'!E55),"")</f>
        <v/>
      </c>
      <c r="F55" s="17" t="str">
        <f>IF('Personnel Yr 1'!$K$5&gt;4,IF(ISBLANK('Personnel Yr 4'!F55),"",'Personnel Yr 4'!F55),"")</f>
        <v/>
      </c>
      <c r="G55" s="483" t="str">
        <f>IF('Personnel Yr 1'!$K$5&gt;4,IF(ISBLANK('Personnel Yr 4'!G55),"",'Personnel Yr 4'!G55),"")</f>
        <v/>
      </c>
      <c r="H55" s="484"/>
      <c r="I55" s="485"/>
      <c r="J55" s="17" t="str">
        <f>IF('Personnel Yr 1'!$K$5&gt;4,IF(AND(OR(ISBLANK($I55),$I55=""),ISBLANK('Personnel Yr 4'!J55)),"",'Personnel Yr 4'!J55),"")</f>
        <v/>
      </c>
      <c r="K55" s="17" t="str">
        <f>IF('Personnel Yr 1'!$K$5&gt;4,IF(AND(OR(ISBLANK($I55),$I55=""),ISBLANK('Personnel Yr 4'!K55)),"",'Personnel Yr 4'!K55),"")</f>
        <v/>
      </c>
      <c r="L55" s="17" t="str">
        <f>IF('Personnel Yr 1'!$K$5&gt;4,IF(AND(OR(ISBLANK($I55),$I55=""),ISBLANK('Personnel Yr 4'!L55)),"",'Personnel Yr 4'!L55),"")</f>
        <v/>
      </c>
      <c r="M55" s="32" t="str">
        <f>IF('Personnel Yr 1'!$K$5&gt;4,IF(AND(NOT(ISBLANK('Personnel Yr 4'!M55)),'Personnel Yr 4'!M55&lt;&gt;""),(('Personnel Yr 4'!M55*'Personnel Yr 1'!$D$5)+'Personnel Yr 4'!M55),""),"")</f>
        <v/>
      </c>
      <c r="N55" s="34" t="str">
        <f t="shared" si="10"/>
        <v/>
      </c>
      <c r="O55" s="40" t="str">
        <f t="shared" si="11"/>
        <v/>
      </c>
      <c r="P55" s="15"/>
      <c r="AF55"/>
      <c r="AG55"/>
      <c r="AH55"/>
      <c r="AI55"/>
      <c r="AJ55"/>
      <c r="AK55"/>
      <c r="AL55"/>
      <c r="AM55"/>
      <c r="AN55"/>
      <c r="AO55"/>
      <c r="AP55"/>
      <c r="AQ55"/>
      <c r="AR55"/>
      <c r="AS55"/>
      <c r="AT55"/>
      <c r="AU55"/>
      <c r="AV55"/>
      <c r="AW55"/>
      <c r="AX55"/>
      <c r="AY55"/>
      <c r="AZ55"/>
      <c r="BA55"/>
    </row>
    <row r="56" spans="1:53" x14ac:dyDescent="0.2">
      <c r="A56" s="4">
        <v>4</v>
      </c>
      <c r="B56" s="5" t="str">
        <f>IF('Personnel Yr 1'!$K$5&gt;4,IF(ISBLANK('Personnel Yr 4'!B56),"",'Personnel Yr 4'!B56),"")</f>
        <v/>
      </c>
      <c r="C56" s="17" t="str">
        <f>IF('Personnel Yr 1'!$K$5&gt;4,IF(ISBLANK('Personnel Yr 4'!C56),"",'Personnel Yr 4'!C56),"")</f>
        <v/>
      </c>
      <c r="D56" s="17" t="str">
        <f>IF('Personnel Yr 1'!$K$5&gt;4,IF(ISBLANK('Personnel Yr 4'!D56),"",'Personnel Yr 4'!D56),"")</f>
        <v/>
      </c>
      <c r="E56" s="17" t="str">
        <f>IF('Personnel Yr 1'!$K$5&gt;4,IF(ISBLANK('Personnel Yr 4'!E56),"",'Personnel Yr 4'!E56),"")</f>
        <v/>
      </c>
      <c r="F56" s="17" t="str">
        <f>IF('Personnel Yr 1'!$K$5&gt;4,IF(ISBLANK('Personnel Yr 4'!F56),"",'Personnel Yr 4'!F56),"")</f>
        <v/>
      </c>
      <c r="G56" s="483" t="str">
        <f>IF('Personnel Yr 1'!$K$5&gt;4,IF(ISBLANK('Personnel Yr 4'!G56),"",'Personnel Yr 4'!G56),"")</f>
        <v/>
      </c>
      <c r="H56" s="484"/>
      <c r="I56" s="485"/>
      <c r="J56" s="17" t="str">
        <f>IF('Personnel Yr 1'!$K$5&gt;4,IF(AND(OR(ISBLANK($I56),$I56=""),ISBLANK('Personnel Yr 4'!J56)),"",'Personnel Yr 4'!J56),"")</f>
        <v/>
      </c>
      <c r="K56" s="17" t="str">
        <f>IF('Personnel Yr 1'!$K$5&gt;4,IF(AND(OR(ISBLANK($I56),$I56=""),ISBLANK('Personnel Yr 4'!K56)),"",'Personnel Yr 4'!K56),"")</f>
        <v/>
      </c>
      <c r="L56" s="17" t="str">
        <f>IF('Personnel Yr 1'!$K$5&gt;4,IF(AND(OR(ISBLANK($I56),$I56=""),ISBLANK('Personnel Yr 4'!L56)),"",'Personnel Yr 4'!L56),"")</f>
        <v/>
      </c>
      <c r="M56" s="32" t="str">
        <f>IF('Personnel Yr 1'!$K$5&gt;4,IF(AND(NOT(ISBLANK('Personnel Yr 4'!M56)),'Personnel Yr 4'!M56&lt;&gt;""),(('Personnel Yr 4'!M56*'Personnel Yr 1'!$D$5)+'Personnel Yr 4'!M56),""),"")</f>
        <v/>
      </c>
      <c r="N56" s="34" t="str">
        <f t="shared" si="10"/>
        <v/>
      </c>
      <c r="O56" s="40" t="str">
        <f t="shared" si="11"/>
        <v/>
      </c>
      <c r="P56" s="15"/>
      <c r="AF56"/>
      <c r="AG56"/>
      <c r="AH56"/>
      <c r="AI56"/>
      <c r="AJ56"/>
      <c r="AK56"/>
      <c r="AL56"/>
      <c r="AM56"/>
      <c r="AN56"/>
      <c r="AO56"/>
      <c r="AP56"/>
      <c r="AQ56"/>
      <c r="AR56"/>
      <c r="AS56"/>
      <c r="AT56"/>
      <c r="AU56"/>
      <c r="AV56"/>
      <c r="AW56"/>
      <c r="AX56"/>
      <c r="AY56"/>
      <c r="AZ56"/>
      <c r="BA56"/>
    </row>
    <row r="57" spans="1:53" x14ac:dyDescent="0.2">
      <c r="A57" s="4">
        <v>5</v>
      </c>
      <c r="B57" s="5" t="str">
        <f>IF('Personnel Yr 1'!$K$5&gt;4,IF(ISBLANK('Personnel Yr 4'!B57),"",'Personnel Yr 4'!B57),"")</f>
        <v/>
      </c>
      <c r="C57" s="17" t="str">
        <f>IF('Personnel Yr 1'!$K$5&gt;4,IF(ISBLANK('Personnel Yr 4'!C57),"",'Personnel Yr 4'!C57),"")</f>
        <v/>
      </c>
      <c r="D57" s="17" t="str">
        <f>IF('Personnel Yr 1'!$K$5&gt;4,IF(ISBLANK('Personnel Yr 4'!D57),"",'Personnel Yr 4'!D57),"")</f>
        <v/>
      </c>
      <c r="E57" s="17" t="str">
        <f>IF('Personnel Yr 1'!$K$5&gt;4,IF(ISBLANK('Personnel Yr 4'!E57),"",'Personnel Yr 4'!E57),"")</f>
        <v/>
      </c>
      <c r="F57" s="17" t="str">
        <f>IF('Personnel Yr 1'!$K$5&gt;4,IF(ISBLANK('Personnel Yr 4'!F57),"",'Personnel Yr 4'!F57),"")</f>
        <v/>
      </c>
      <c r="G57" s="483" t="str">
        <f>IF('Personnel Yr 1'!$K$5&gt;4,IF(ISBLANK('Personnel Yr 4'!G57),"",'Personnel Yr 4'!G57),"")</f>
        <v/>
      </c>
      <c r="H57" s="484"/>
      <c r="I57" s="485"/>
      <c r="J57" s="17" t="str">
        <f>IF('Personnel Yr 1'!$K$5&gt;4,IF(AND(OR(ISBLANK($I57),$I57=""),ISBLANK('Personnel Yr 4'!J57)),"",'Personnel Yr 4'!J57),"")</f>
        <v/>
      </c>
      <c r="K57" s="17" t="str">
        <f>IF('Personnel Yr 1'!$K$5&gt;4,IF(AND(OR(ISBLANK($I57),$I57=""),ISBLANK('Personnel Yr 4'!K57)),"",'Personnel Yr 4'!K57),"")</f>
        <v/>
      </c>
      <c r="L57" s="17" t="str">
        <f>IF('Personnel Yr 1'!$K$5&gt;4,IF(AND(OR(ISBLANK($I57),$I57=""),ISBLANK('Personnel Yr 4'!L57)),"",'Personnel Yr 4'!L57),"")</f>
        <v/>
      </c>
      <c r="M57" s="32" t="str">
        <f>IF('Personnel Yr 1'!$K$5&gt;4,IF(AND(NOT(ISBLANK('Personnel Yr 4'!M57)),'Personnel Yr 4'!M57&lt;&gt;""),(('Personnel Yr 4'!M57*'Personnel Yr 1'!$D$5)+'Personnel Yr 4'!M57),""),"")</f>
        <v/>
      </c>
      <c r="N57" s="34" t="str">
        <f t="shared" si="10"/>
        <v/>
      </c>
      <c r="O57" s="40" t="str">
        <f t="shared" si="11"/>
        <v/>
      </c>
      <c r="P57" s="15"/>
      <c r="AF57"/>
      <c r="AG57"/>
      <c r="AH57"/>
      <c r="AI57"/>
      <c r="AJ57"/>
      <c r="AK57"/>
      <c r="AL57"/>
      <c r="AM57"/>
      <c r="AN57"/>
      <c r="AO57"/>
      <c r="AP57"/>
      <c r="AQ57"/>
      <c r="AR57"/>
      <c r="AS57"/>
      <c r="AT57"/>
      <c r="AU57"/>
      <c r="AV57"/>
      <c r="AW57"/>
      <c r="AX57"/>
      <c r="AY57"/>
      <c r="AZ57"/>
      <c r="BA57"/>
    </row>
    <row r="58" spans="1:53" x14ac:dyDescent="0.2">
      <c r="A58" s="4">
        <v>6</v>
      </c>
      <c r="B58" s="5" t="str">
        <f>IF('Personnel Yr 1'!$K$5&gt;4,IF(ISBLANK('Personnel Yr 4'!B58),"",'Personnel Yr 4'!B58),"")</f>
        <v/>
      </c>
      <c r="C58" s="17" t="str">
        <f>IF('Personnel Yr 1'!$K$5&gt;4,IF(ISBLANK('Personnel Yr 4'!C58),"",'Personnel Yr 4'!C58),"")</f>
        <v/>
      </c>
      <c r="D58" s="17" t="str">
        <f>IF('Personnel Yr 1'!$K$5&gt;4,IF(ISBLANK('Personnel Yr 4'!D58),"",'Personnel Yr 4'!D58),"")</f>
        <v/>
      </c>
      <c r="E58" s="17" t="str">
        <f>IF('Personnel Yr 1'!$K$5&gt;4,IF(ISBLANK('Personnel Yr 4'!E58),"",'Personnel Yr 4'!E58),"")</f>
        <v/>
      </c>
      <c r="F58" s="17" t="str">
        <f>IF('Personnel Yr 1'!$K$5&gt;4,IF(ISBLANK('Personnel Yr 4'!F58),"",'Personnel Yr 4'!F58),"")</f>
        <v/>
      </c>
      <c r="G58" s="483" t="str">
        <f>IF('Personnel Yr 1'!$K$5&gt;4,IF(ISBLANK('Personnel Yr 4'!G58),"",'Personnel Yr 4'!G58),"")</f>
        <v/>
      </c>
      <c r="H58" s="484"/>
      <c r="I58" s="485"/>
      <c r="J58" s="17" t="str">
        <f>IF('Personnel Yr 1'!$K$5&gt;4,IF(AND(OR(ISBLANK($I58),$I58=""),ISBLANK('Personnel Yr 4'!J58)),"",'Personnel Yr 4'!J58),"")</f>
        <v/>
      </c>
      <c r="K58" s="17" t="str">
        <f>IF('Personnel Yr 1'!$K$5&gt;4,IF(AND(OR(ISBLANK($I58),$I58=""),ISBLANK('Personnel Yr 4'!K58)),"",'Personnel Yr 4'!K58),"")</f>
        <v/>
      </c>
      <c r="L58" s="17" t="str">
        <f>IF('Personnel Yr 1'!$K$5&gt;4,IF(AND(OR(ISBLANK($I58),$I58=""),ISBLANK('Personnel Yr 4'!L58)),"",'Personnel Yr 4'!L58),"")</f>
        <v/>
      </c>
      <c r="M58" s="32" t="str">
        <f>IF('Personnel Yr 1'!$K$5&gt;4,IF(AND(NOT(ISBLANK('Personnel Yr 4'!M58)),'Personnel Yr 4'!M58&lt;&gt;""),(('Personnel Yr 4'!M58*'Personnel Yr 1'!$D$5)+'Personnel Yr 4'!M58),""),"")</f>
        <v/>
      </c>
      <c r="N58" s="34" t="str">
        <f t="shared" si="10"/>
        <v/>
      </c>
      <c r="O58" s="40" t="str">
        <f t="shared" si="11"/>
        <v/>
      </c>
      <c r="P58" s="15"/>
      <c r="AF58"/>
      <c r="AG58"/>
      <c r="AH58"/>
      <c r="AI58"/>
      <c r="AJ58"/>
      <c r="AK58"/>
      <c r="AL58"/>
      <c r="AM58"/>
      <c r="AN58"/>
      <c r="AO58"/>
      <c r="AP58"/>
      <c r="AQ58"/>
      <c r="AR58"/>
      <c r="AS58"/>
      <c r="AT58"/>
      <c r="AU58"/>
      <c r="AV58"/>
      <c r="AW58"/>
      <c r="AX58"/>
      <c r="AY58"/>
      <c r="AZ58"/>
      <c r="BA58"/>
    </row>
    <row r="59" spans="1:53" x14ac:dyDescent="0.2">
      <c r="A59" s="4">
        <v>7</v>
      </c>
      <c r="B59" s="5" t="str">
        <f>IF('Personnel Yr 1'!$K$5&gt;4,IF(ISBLANK('Personnel Yr 4'!B59),"",'Personnel Yr 4'!B59),"")</f>
        <v/>
      </c>
      <c r="C59" s="17" t="str">
        <f>IF('Personnel Yr 1'!$K$5&gt;4,IF(ISBLANK('Personnel Yr 4'!C59),"",'Personnel Yr 4'!C59),"")</f>
        <v/>
      </c>
      <c r="D59" s="17" t="str">
        <f>IF('Personnel Yr 1'!$K$5&gt;4,IF(ISBLANK('Personnel Yr 4'!D59),"",'Personnel Yr 4'!D59),"")</f>
        <v/>
      </c>
      <c r="E59" s="17" t="str">
        <f>IF('Personnel Yr 1'!$K$5&gt;4,IF(ISBLANK('Personnel Yr 4'!E59),"",'Personnel Yr 4'!E59),"")</f>
        <v/>
      </c>
      <c r="F59" s="17" t="str">
        <f>IF('Personnel Yr 1'!$K$5&gt;4,IF(ISBLANK('Personnel Yr 4'!F59),"",'Personnel Yr 4'!F59),"")</f>
        <v/>
      </c>
      <c r="G59" s="483" t="str">
        <f>IF('Personnel Yr 1'!$K$5&gt;4,IF(ISBLANK('Personnel Yr 4'!G59),"",'Personnel Yr 4'!G59),"")</f>
        <v/>
      </c>
      <c r="H59" s="484"/>
      <c r="I59" s="485"/>
      <c r="J59" s="17" t="str">
        <f>IF('Personnel Yr 1'!$K$5&gt;4,IF(AND(OR(ISBLANK($I59),$I59=""),ISBLANK('Personnel Yr 4'!J59)),"",'Personnel Yr 4'!J59),"")</f>
        <v/>
      </c>
      <c r="K59" s="17" t="str">
        <f>IF('Personnel Yr 1'!$K$5&gt;4,IF(AND(OR(ISBLANK($I59),$I59=""),ISBLANK('Personnel Yr 4'!K59)),"",'Personnel Yr 4'!K59),"")</f>
        <v/>
      </c>
      <c r="L59" s="17" t="str">
        <f>IF('Personnel Yr 1'!$K$5&gt;4,IF(AND(OR(ISBLANK($I59),$I59=""),ISBLANK('Personnel Yr 4'!L59)),"",'Personnel Yr 4'!L59),"")</f>
        <v/>
      </c>
      <c r="M59" s="32" t="str">
        <f>IF('Personnel Yr 1'!$K$5&gt;4,IF(AND(NOT(ISBLANK('Personnel Yr 4'!M59)),'Personnel Yr 4'!M59&lt;&gt;""),(('Personnel Yr 4'!M59*'Personnel Yr 1'!$D$5)+'Personnel Yr 4'!M59),""),"")</f>
        <v/>
      </c>
      <c r="N59" s="34" t="str">
        <f t="shared" si="10"/>
        <v/>
      </c>
      <c r="O59" s="40" t="str">
        <f t="shared" si="11"/>
        <v/>
      </c>
      <c r="P59" s="15"/>
      <c r="AF59"/>
      <c r="AG59"/>
      <c r="AH59"/>
      <c r="AI59"/>
      <c r="AJ59"/>
      <c r="AK59"/>
      <c r="AL59"/>
      <c r="AM59"/>
      <c r="AN59"/>
      <c r="AO59"/>
      <c r="AP59"/>
      <c r="AQ59"/>
      <c r="AR59"/>
      <c r="AS59"/>
      <c r="AT59"/>
      <c r="AU59"/>
      <c r="AV59"/>
      <c r="AW59"/>
      <c r="AX59"/>
      <c r="AY59"/>
      <c r="AZ59"/>
      <c r="BA59"/>
    </row>
    <row r="60" spans="1:53" x14ac:dyDescent="0.2">
      <c r="A60" s="4">
        <v>8</v>
      </c>
      <c r="B60" s="5" t="str">
        <f>IF('Personnel Yr 1'!$K$5&gt;4,IF(ISBLANK('Personnel Yr 4'!B60),"",'Personnel Yr 4'!B60),"")</f>
        <v/>
      </c>
      <c r="C60" s="17" t="str">
        <f>IF('Personnel Yr 1'!$K$5&gt;4,IF(ISBLANK('Personnel Yr 4'!C60),"",'Personnel Yr 4'!C60),"")</f>
        <v/>
      </c>
      <c r="D60" s="17" t="str">
        <f>IF('Personnel Yr 1'!$K$5&gt;4,IF(ISBLANK('Personnel Yr 4'!D60),"",'Personnel Yr 4'!D60),"")</f>
        <v/>
      </c>
      <c r="E60" s="17" t="str">
        <f>IF('Personnel Yr 1'!$K$5&gt;4,IF(ISBLANK('Personnel Yr 4'!E60),"",'Personnel Yr 4'!E60),"")</f>
        <v/>
      </c>
      <c r="F60" s="17" t="str">
        <f>IF('Personnel Yr 1'!$K$5&gt;4,IF(ISBLANK('Personnel Yr 4'!F60),"",'Personnel Yr 4'!F60),"")</f>
        <v/>
      </c>
      <c r="G60" s="483" t="str">
        <f>IF('Personnel Yr 1'!$K$5&gt;4,IF(ISBLANK('Personnel Yr 4'!G60),"",'Personnel Yr 4'!G60),"")</f>
        <v/>
      </c>
      <c r="H60" s="484"/>
      <c r="I60" s="485"/>
      <c r="J60" s="17" t="str">
        <f>IF('Personnel Yr 1'!$K$5&gt;4,IF(AND(OR(ISBLANK($I60),$I60=""),ISBLANK('Personnel Yr 4'!J60)),"",'Personnel Yr 4'!J60),"")</f>
        <v/>
      </c>
      <c r="K60" s="17" t="str">
        <f>IF('Personnel Yr 1'!$K$5&gt;4,IF(AND(OR(ISBLANK($I60),$I60=""),ISBLANK('Personnel Yr 4'!K60)),"",'Personnel Yr 4'!K60),"")</f>
        <v/>
      </c>
      <c r="L60" s="17" t="str">
        <f>IF('Personnel Yr 1'!$K$5&gt;4,IF(AND(OR(ISBLANK($I60),$I60=""),ISBLANK('Personnel Yr 4'!L60)),"",'Personnel Yr 4'!L60),"")</f>
        <v/>
      </c>
      <c r="M60" s="32" t="str">
        <f>IF('Personnel Yr 1'!$K$5&gt;4,IF(AND(NOT(ISBLANK('Personnel Yr 4'!M60)),'Personnel Yr 4'!M60&lt;&gt;""),(('Personnel Yr 4'!M60*'Personnel Yr 1'!$D$5)+'Personnel Yr 4'!M60),""),"")</f>
        <v/>
      </c>
      <c r="N60" s="34" t="str">
        <f t="shared" si="10"/>
        <v/>
      </c>
      <c r="O60" s="40" t="str">
        <f t="shared" si="11"/>
        <v/>
      </c>
      <c r="P60" s="15"/>
      <c r="AF60"/>
      <c r="AG60"/>
      <c r="AH60"/>
      <c r="AI60"/>
      <c r="AJ60"/>
      <c r="AK60"/>
      <c r="AL60"/>
      <c r="AM60"/>
      <c r="AN60"/>
      <c r="AO60"/>
      <c r="AP60"/>
      <c r="AQ60"/>
      <c r="AR60"/>
      <c r="AS60"/>
      <c r="AT60"/>
      <c r="AU60"/>
      <c r="AV60"/>
      <c r="AW60"/>
      <c r="AX60"/>
      <c r="AY60"/>
      <c r="AZ60"/>
      <c r="BA60"/>
    </row>
    <row r="61" spans="1:53" x14ac:dyDescent="0.2">
      <c r="A61" s="4">
        <v>9</v>
      </c>
      <c r="B61" s="5" t="str">
        <f>IF('Personnel Yr 1'!$K$5&gt;4,IF(ISBLANK('Personnel Yr 4'!B61),"",'Personnel Yr 4'!B61),"")</f>
        <v/>
      </c>
      <c r="C61" s="17" t="str">
        <f>IF('Personnel Yr 1'!$K$5&gt;4,IF(ISBLANK('Personnel Yr 4'!C61),"",'Personnel Yr 4'!C61),"")</f>
        <v/>
      </c>
      <c r="D61" s="17" t="str">
        <f>IF('Personnel Yr 1'!$K$5&gt;4,IF(ISBLANK('Personnel Yr 4'!D61),"",'Personnel Yr 4'!D61),"")</f>
        <v/>
      </c>
      <c r="E61" s="17" t="str">
        <f>IF('Personnel Yr 1'!$K$5&gt;4,IF(ISBLANK('Personnel Yr 4'!E61),"",'Personnel Yr 4'!E61),"")</f>
        <v/>
      </c>
      <c r="F61" s="17" t="str">
        <f>IF('Personnel Yr 1'!$K$5&gt;4,IF(ISBLANK('Personnel Yr 4'!F61),"",'Personnel Yr 4'!F61),"")</f>
        <v/>
      </c>
      <c r="G61" s="483" t="str">
        <f>IF('Personnel Yr 1'!$K$5&gt;4,IF(ISBLANK('Personnel Yr 4'!G61),"",'Personnel Yr 4'!G61),"")</f>
        <v/>
      </c>
      <c r="H61" s="484"/>
      <c r="I61" s="485"/>
      <c r="J61" s="17" t="str">
        <f>IF('Personnel Yr 1'!$K$5&gt;4,IF(AND(OR(ISBLANK($I61),$I61=""),ISBLANK('Personnel Yr 4'!J61)),"",'Personnel Yr 4'!J61),"")</f>
        <v/>
      </c>
      <c r="K61" s="17" t="str">
        <f>IF('Personnel Yr 1'!$K$5&gt;4,IF(AND(OR(ISBLANK($I61),$I61=""),ISBLANK('Personnel Yr 4'!K61)),"",'Personnel Yr 4'!K61),"")</f>
        <v/>
      </c>
      <c r="L61" s="17" t="str">
        <f>IF('Personnel Yr 1'!$K$5&gt;4,IF(AND(OR(ISBLANK($I61),$I61=""),ISBLANK('Personnel Yr 4'!L61)),"",'Personnel Yr 4'!L61),"")</f>
        <v/>
      </c>
      <c r="M61" s="32" t="str">
        <f>IF('Personnel Yr 1'!$K$5&gt;4,IF(AND(NOT(ISBLANK('Personnel Yr 4'!M61)),'Personnel Yr 4'!M61&lt;&gt;""),(('Personnel Yr 4'!M61*'Personnel Yr 1'!$D$5)+'Personnel Yr 4'!M61),""),"")</f>
        <v/>
      </c>
      <c r="N61" s="34" t="str">
        <f t="shared" si="10"/>
        <v/>
      </c>
      <c r="O61" s="40" t="str">
        <f t="shared" si="11"/>
        <v/>
      </c>
      <c r="P61" s="15"/>
      <c r="AF61"/>
      <c r="AG61"/>
      <c r="AH61"/>
      <c r="AI61"/>
      <c r="AJ61"/>
      <c r="AK61"/>
      <c r="AL61"/>
      <c r="AM61"/>
      <c r="AN61"/>
      <c r="AO61"/>
      <c r="AP61"/>
      <c r="AQ61"/>
      <c r="AR61"/>
      <c r="AS61"/>
      <c r="AT61"/>
      <c r="AU61"/>
      <c r="AV61"/>
      <c r="AW61"/>
      <c r="AX61"/>
      <c r="AY61"/>
      <c r="AZ61"/>
      <c r="BA61"/>
    </row>
    <row r="62" spans="1:53" x14ac:dyDescent="0.2">
      <c r="A62" s="4">
        <v>10</v>
      </c>
      <c r="B62" s="5" t="str">
        <f>IF('Personnel Yr 1'!$K$5&gt;4,IF(ISBLANK('Personnel Yr 4'!B62),"",'Personnel Yr 4'!B62),"")</f>
        <v/>
      </c>
      <c r="C62" s="17" t="str">
        <f>IF('Personnel Yr 1'!$K$5&gt;4,IF(ISBLANK('Personnel Yr 4'!C62),"",'Personnel Yr 4'!C62),"")</f>
        <v/>
      </c>
      <c r="D62" s="17" t="str">
        <f>IF('Personnel Yr 1'!$K$5&gt;4,IF(ISBLANK('Personnel Yr 4'!D62),"",'Personnel Yr 4'!D62),"")</f>
        <v/>
      </c>
      <c r="E62" s="17" t="str">
        <f>IF('Personnel Yr 1'!$K$5&gt;4,IF(ISBLANK('Personnel Yr 4'!E62),"",'Personnel Yr 4'!E62),"")</f>
        <v/>
      </c>
      <c r="F62" s="17" t="str">
        <f>IF('Personnel Yr 1'!$K$5&gt;4,IF(ISBLANK('Personnel Yr 4'!F62),"",'Personnel Yr 4'!F62),"")</f>
        <v/>
      </c>
      <c r="G62" s="483" t="str">
        <f>IF('Personnel Yr 1'!$K$5&gt;4,IF(ISBLANK('Personnel Yr 4'!G62),"",'Personnel Yr 4'!G62),"")</f>
        <v/>
      </c>
      <c r="H62" s="484"/>
      <c r="I62" s="485"/>
      <c r="J62" s="17" t="str">
        <f>IF('Personnel Yr 1'!$K$5&gt;4,IF(AND(OR(ISBLANK($I62),$I62=""),ISBLANK('Personnel Yr 4'!J62)),"",'Personnel Yr 4'!J62),"")</f>
        <v/>
      </c>
      <c r="K62" s="17" t="str">
        <f>IF('Personnel Yr 1'!$K$5&gt;4,IF(AND(OR(ISBLANK($I62),$I62=""),ISBLANK('Personnel Yr 4'!K62)),"",'Personnel Yr 4'!K62),"")</f>
        <v/>
      </c>
      <c r="L62" s="17" t="str">
        <f>IF('Personnel Yr 1'!$K$5&gt;4,IF(AND(OR(ISBLANK($I62),$I62=""),ISBLANK('Personnel Yr 4'!L62)),"",'Personnel Yr 4'!L62),"")</f>
        <v/>
      </c>
      <c r="M62" s="32" t="str">
        <f>IF('Personnel Yr 1'!$K$5&gt;4,IF(AND(NOT(ISBLANK('Personnel Yr 4'!M62)),'Personnel Yr 4'!M62&lt;&gt;""),(('Personnel Yr 4'!M62*'Personnel Yr 1'!$D$5)+'Personnel Yr 4'!M62),""),"")</f>
        <v/>
      </c>
      <c r="N62" s="34" t="str">
        <f t="shared" si="10"/>
        <v/>
      </c>
      <c r="O62" s="40" t="str">
        <f t="shared" si="11"/>
        <v/>
      </c>
      <c r="P62" s="15"/>
      <c r="AF62"/>
      <c r="AG62"/>
      <c r="AH62"/>
      <c r="AI62"/>
      <c r="AJ62"/>
      <c r="AK62"/>
      <c r="AL62"/>
      <c r="AM62"/>
      <c r="AN62"/>
      <c r="AO62"/>
      <c r="AP62"/>
      <c r="AQ62"/>
      <c r="AR62"/>
      <c r="AS62"/>
      <c r="AT62"/>
      <c r="AU62"/>
      <c r="AV62"/>
      <c r="AW62"/>
      <c r="AX62"/>
      <c r="AY62"/>
      <c r="AZ62"/>
      <c r="BA62"/>
    </row>
    <row r="63" spans="1:53" x14ac:dyDescent="0.2">
      <c r="A63" s="4">
        <v>11</v>
      </c>
      <c r="B63" s="5" t="str">
        <f>IF('Personnel Yr 1'!$K$5&gt;4,IF(ISBLANK('Personnel Yr 4'!B63),"",'Personnel Yr 4'!B63),"")</f>
        <v/>
      </c>
      <c r="C63" s="17" t="str">
        <f>IF('Personnel Yr 1'!$K$5&gt;4,IF(ISBLANK('Personnel Yr 4'!C63),"",'Personnel Yr 4'!C63),"")</f>
        <v/>
      </c>
      <c r="D63" s="17" t="str">
        <f>IF('Personnel Yr 1'!$K$5&gt;4,IF(ISBLANK('Personnel Yr 4'!D63),"",'Personnel Yr 4'!D63),"")</f>
        <v/>
      </c>
      <c r="E63" s="17" t="str">
        <f>IF('Personnel Yr 1'!$K$5&gt;4,IF(ISBLANK('Personnel Yr 4'!E63),"",'Personnel Yr 4'!E63),"")</f>
        <v/>
      </c>
      <c r="F63" s="17" t="str">
        <f>IF('Personnel Yr 1'!$K$5&gt;4,IF(ISBLANK('Personnel Yr 4'!F63),"",'Personnel Yr 4'!F63),"")</f>
        <v/>
      </c>
      <c r="G63" s="483" t="str">
        <f>IF('Personnel Yr 1'!$K$5&gt;4,IF(ISBLANK('Personnel Yr 4'!G63),"",'Personnel Yr 4'!G63),"")</f>
        <v/>
      </c>
      <c r="H63" s="484"/>
      <c r="I63" s="485"/>
      <c r="J63" s="17" t="str">
        <f>IF('Personnel Yr 1'!$K$5&gt;4,IF(AND(OR(ISBLANK($I63),$I63=""),ISBLANK('Personnel Yr 4'!J63)),"",'Personnel Yr 4'!J63),"")</f>
        <v/>
      </c>
      <c r="K63" s="17" t="str">
        <f>IF('Personnel Yr 1'!$K$5&gt;4,IF(AND(OR(ISBLANK($I63),$I63=""),ISBLANK('Personnel Yr 4'!K63)),"",'Personnel Yr 4'!K63),"")</f>
        <v/>
      </c>
      <c r="L63" s="17" t="str">
        <f>IF('Personnel Yr 1'!$K$5&gt;4,IF(AND(OR(ISBLANK($I63),$I63=""),ISBLANK('Personnel Yr 4'!L63)),"",'Personnel Yr 4'!L63),"")</f>
        <v/>
      </c>
      <c r="M63" s="32" t="str">
        <f>IF('Personnel Yr 1'!$K$5&gt;4,IF(AND(NOT(ISBLANK('Personnel Yr 4'!M63)),'Personnel Yr 4'!M63&lt;&gt;""),(('Personnel Yr 4'!M63*'Personnel Yr 1'!$D$5)+'Personnel Yr 4'!M63),""),"")</f>
        <v/>
      </c>
      <c r="N63" s="34" t="str">
        <f t="shared" si="10"/>
        <v/>
      </c>
      <c r="O63" s="40" t="str">
        <f t="shared" si="11"/>
        <v/>
      </c>
      <c r="P63" s="15"/>
      <c r="AF63"/>
      <c r="AG63"/>
      <c r="AH63"/>
      <c r="AI63"/>
      <c r="AJ63"/>
      <c r="AK63"/>
      <c r="AL63"/>
      <c r="AM63"/>
      <c r="AN63"/>
      <c r="AO63"/>
      <c r="AP63"/>
      <c r="AQ63"/>
      <c r="AR63"/>
      <c r="AS63"/>
      <c r="AT63"/>
      <c r="AU63"/>
      <c r="AV63"/>
      <c r="AW63"/>
      <c r="AX63"/>
      <c r="AY63"/>
      <c r="AZ63"/>
      <c r="BA63"/>
    </row>
    <row r="64" spans="1:53" x14ac:dyDescent="0.2">
      <c r="A64" s="4">
        <v>12</v>
      </c>
      <c r="B64" s="5" t="str">
        <f>IF('Personnel Yr 1'!$K$5&gt;4,IF(ISBLANK('Personnel Yr 4'!B64),"",'Personnel Yr 4'!B64),"")</f>
        <v/>
      </c>
      <c r="C64" s="17" t="str">
        <f>IF('Personnel Yr 1'!$K$5&gt;4,IF(ISBLANK('Personnel Yr 4'!C64),"",'Personnel Yr 4'!C64),"")</f>
        <v/>
      </c>
      <c r="D64" s="17" t="str">
        <f>IF('Personnel Yr 1'!$K$5&gt;4,IF(ISBLANK('Personnel Yr 4'!D64),"",'Personnel Yr 4'!D64),"")</f>
        <v/>
      </c>
      <c r="E64" s="17" t="str">
        <f>IF('Personnel Yr 1'!$K$5&gt;4,IF(ISBLANK('Personnel Yr 4'!E64),"",'Personnel Yr 4'!E64),"")</f>
        <v/>
      </c>
      <c r="F64" s="17" t="str">
        <f>IF('Personnel Yr 1'!$K$5&gt;4,IF(ISBLANK('Personnel Yr 4'!F64),"",'Personnel Yr 4'!F64),"")</f>
        <v/>
      </c>
      <c r="G64" s="483" t="str">
        <f>IF('Personnel Yr 1'!$K$5&gt;4,IF(ISBLANK('Personnel Yr 4'!G64),"",'Personnel Yr 4'!G64),"")</f>
        <v/>
      </c>
      <c r="H64" s="484"/>
      <c r="I64" s="485"/>
      <c r="J64" s="17" t="str">
        <f>IF('Personnel Yr 1'!$K$5&gt;4,IF(AND(OR(ISBLANK($I64),$I64=""),ISBLANK('Personnel Yr 4'!J64)),"",'Personnel Yr 4'!J64),"")</f>
        <v/>
      </c>
      <c r="K64" s="17" t="str">
        <f>IF('Personnel Yr 1'!$K$5&gt;4,IF(AND(OR(ISBLANK($I64),$I64=""),ISBLANK('Personnel Yr 4'!K64)),"",'Personnel Yr 4'!K64),"")</f>
        <v/>
      </c>
      <c r="L64" s="17" t="str">
        <f>IF('Personnel Yr 1'!$K$5&gt;4,IF(AND(OR(ISBLANK($I64),$I64=""),ISBLANK('Personnel Yr 4'!L64)),"",'Personnel Yr 4'!L64),"")</f>
        <v/>
      </c>
      <c r="M64" s="32" t="str">
        <f>IF('Personnel Yr 1'!$K$5&gt;4,IF(AND(NOT(ISBLANK('Personnel Yr 4'!M64)),'Personnel Yr 4'!M64&lt;&gt;""),(('Personnel Yr 4'!M64*'Personnel Yr 1'!$D$5)+'Personnel Yr 4'!M64),""),"")</f>
        <v/>
      </c>
      <c r="N64" s="34" t="str">
        <f t="shared" si="10"/>
        <v/>
      </c>
      <c r="O64" s="40" t="str">
        <f t="shared" si="11"/>
        <v/>
      </c>
      <c r="P64" s="15"/>
      <c r="AF64"/>
      <c r="AG64"/>
      <c r="AH64"/>
      <c r="AI64"/>
      <c r="AJ64"/>
      <c r="AK64"/>
      <c r="AL64"/>
      <c r="AM64"/>
      <c r="AN64"/>
      <c r="AO64"/>
      <c r="AP64"/>
      <c r="AQ64"/>
      <c r="AR64"/>
      <c r="AS64"/>
      <c r="AT64"/>
      <c r="AU64"/>
      <c r="AV64"/>
      <c r="AW64"/>
      <c r="AX64"/>
      <c r="AY64"/>
      <c r="AZ64"/>
      <c r="BA64"/>
    </row>
    <row r="65" spans="1:53" x14ac:dyDescent="0.2">
      <c r="A65" s="4">
        <v>13</v>
      </c>
      <c r="B65" s="5" t="str">
        <f>IF('Personnel Yr 1'!$K$5&gt;4,IF(ISBLANK('Personnel Yr 4'!B65),"",'Personnel Yr 4'!B65),"")</f>
        <v/>
      </c>
      <c r="C65" s="17" t="str">
        <f>IF('Personnel Yr 1'!$K$5&gt;4,IF(ISBLANK('Personnel Yr 4'!C65),"",'Personnel Yr 4'!C65),"")</f>
        <v/>
      </c>
      <c r="D65" s="17" t="str">
        <f>IF('Personnel Yr 1'!$K$5&gt;4,IF(ISBLANK('Personnel Yr 4'!D65),"",'Personnel Yr 4'!D65),"")</f>
        <v/>
      </c>
      <c r="E65" s="17" t="str">
        <f>IF('Personnel Yr 1'!$K$5&gt;4,IF(ISBLANK('Personnel Yr 4'!E65),"",'Personnel Yr 4'!E65),"")</f>
        <v/>
      </c>
      <c r="F65" s="17" t="str">
        <f>IF('Personnel Yr 1'!$K$5&gt;4,IF(ISBLANK('Personnel Yr 4'!F65),"",'Personnel Yr 4'!F65),"")</f>
        <v/>
      </c>
      <c r="G65" s="483" t="str">
        <f>IF('Personnel Yr 1'!$K$5&gt;4,IF(ISBLANK('Personnel Yr 4'!G65),"",'Personnel Yr 4'!G65),"")</f>
        <v/>
      </c>
      <c r="H65" s="484"/>
      <c r="I65" s="485"/>
      <c r="J65" s="17" t="str">
        <f>IF('Personnel Yr 1'!$K$5&gt;4,IF(AND(OR(ISBLANK($I65),$I65=""),ISBLANK('Personnel Yr 4'!J65)),"",'Personnel Yr 4'!J65),"")</f>
        <v/>
      </c>
      <c r="K65" s="17" t="str">
        <f>IF('Personnel Yr 1'!$K$5&gt;4,IF(AND(OR(ISBLANK($I65),$I65=""),ISBLANK('Personnel Yr 4'!K65)),"",'Personnel Yr 4'!K65),"")</f>
        <v/>
      </c>
      <c r="L65" s="17" t="str">
        <f>IF('Personnel Yr 1'!$K$5&gt;4,IF(AND(OR(ISBLANK($I65),$I65=""),ISBLANK('Personnel Yr 4'!L65)),"",'Personnel Yr 4'!L65),"")</f>
        <v/>
      </c>
      <c r="M65" s="32" t="str">
        <f>IF('Personnel Yr 1'!$K$5&gt;4,IF(AND(NOT(ISBLANK('Personnel Yr 4'!M65)),'Personnel Yr 4'!M65&lt;&gt;""),(('Personnel Yr 4'!M65*'Personnel Yr 1'!$D$5)+'Personnel Yr 4'!M65),""),"")</f>
        <v/>
      </c>
      <c r="N65" s="34" t="str">
        <f t="shared" si="10"/>
        <v/>
      </c>
      <c r="O65" s="40" t="str">
        <f t="shared" si="11"/>
        <v/>
      </c>
      <c r="P65" s="15"/>
      <c r="AF65"/>
      <c r="AG65"/>
      <c r="AH65"/>
      <c r="AI65"/>
      <c r="AJ65"/>
      <c r="AK65"/>
      <c r="AL65"/>
      <c r="AM65"/>
      <c r="AN65"/>
      <c r="AO65"/>
      <c r="AP65"/>
      <c r="AQ65"/>
      <c r="AR65"/>
      <c r="AS65"/>
      <c r="AT65"/>
      <c r="AU65"/>
      <c r="AV65"/>
      <c r="AW65"/>
      <c r="AX65"/>
      <c r="AY65"/>
      <c r="AZ65"/>
      <c r="BA65"/>
    </row>
    <row r="66" spans="1:53" x14ac:dyDescent="0.2">
      <c r="A66" s="4">
        <v>14</v>
      </c>
      <c r="B66" s="5" t="str">
        <f>IF('Personnel Yr 1'!$K$5&gt;4,IF(ISBLANK('Personnel Yr 4'!B66),"",'Personnel Yr 4'!B66),"")</f>
        <v/>
      </c>
      <c r="C66" s="17" t="str">
        <f>IF('Personnel Yr 1'!$K$5&gt;4,IF(ISBLANK('Personnel Yr 4'!C66),"",'Personnel Yr 4'!C66),"")</f>
        <v/>
      </c>
      <c r="D66" s="17" t="str">
        <f>IF('Personnel Yr 1'!$K$5&gt;4,IF(ISBLANK('Personnel Yr 4'!D66),"",'Personnel Yr 4'!D66),"")</f>
        <v/>
      </c>
      <c r="E66" s="17" t="str">
        <f>IF('Personnel Yr 1'!$K$5&gt;4,IF(ISBLANK('Personnel Yr 4'!E66),"",'Personnel Yr 4'!E66),"")</f>
        <v/>
      </c>
      <c r="F66" s="17" t="str">
        <f>IF('Personnel Yr 1'!$K$5&gt;4,IF(ISBLANK('Personnel Yr 4'!F66),"",'Personnel Yr 4'!F66),"")</f>
        <v/>
      </c>
      <c r="G66" s="483" t="str">
        <f>IF('Personnel Yr 1'!$K$5&gt;4,IF(ISBLANK('Personnel Yr 4'!G66),"",'Personnel Yr 4'!G66),"")</f>
        <v/>
      </c>
      <c r="H66" s="484"/>
      <c r="I66" s="485"/>
      <c r="J66" s="17" t="str">
        <f>IF('Personnel Yr 1'!$K$5&gt;4,IF(AND(OR(ISBLANK($I66),$I66=""),ISBLANK('Personnel Yr 4'!J66)),"",'Personnel Yr 4'!J66),"")</f>
        <v/>
      </c>
      <c r="K66" s="17" t="str">
        <f>IF('Personnel Yr 1'!$K$5&gt;4,IF(AND(OR(ISBLANK($I66),$I66=""),ISBLANK('Personnel Yr 4'!K66)),"",'Personnel Yr 4'!K66),"")</f>
        <v/>
      </c>
      <c r="L66" s="17" t="str">
        <f>IF('Personnel Yr 1'!$K$5&gt;4,IF(AND(OR(ISBLANK($I66),$I66=""),ISBLANK('Personnel Yr 4'!L66)),"",'Personnel Yr 4'!L66),"")</f>
        <v/>
      </c>
      <c r="M66" s="32" t="str">
        <f>IF('Personnel Yr 1'!$K$5&gt;4,IF(AND(NOT(ISBLANK('Personnel Yr 4'!M66)),'Personnel Yr 4'!M66&lt;&gt;""),(('Personnel Yr 4'!M66*'Personnel Yr 1'!$D$5)+'Personnel Yr 4'!M66),""),"")</f>
        <v/>
      </c>
      <c r="N66" s="34" t="str">
        <f t="shared" si="10"/>
        <v/>
      </c>
      <c r="O66" s="40" t="str">
        <f t="shared" si="11"/>
        <v/>
      </c>
      <c r="P66" s="15"/>
      <c r="AF66"/>
      <c r="AG66"/>
      <c r="AH66"/>
      <c r="AI66"/>
      <c r="AJ66"/>
      <c r="AK66"/>
      <c r="AL66"/>
      <c r="AM66"/>
      <c r="AN66"/>
      <c r="AO66"/>
      <c r="AP66"/>
      <c r="AQ66"/>
      <c r="AR66"/>
      <c r="AS66"/>
      <c r="AT66"/>
      <c r="AU66"/>
      <c r="AV66"/>
      <c r="AW66"/>
      <c r="AX66"/>
      <c r="AY66"/>
      <c r="AZ66"/>
      <c r="BA66"/>
    </row>
    <row r="67" spans="1:53" x14ac:dyDescent="0.2">
      <c r="A67" s="4">
        <v>15</v>
      </c>
      <c r="B67" s="5" t="str">
        <f>IF('Personnel Yr 1'!$K$5&gt;4,IF(ISBLANK('Personnel Yr 4'!B67),"",'Personnel Yr 4'!B67),"")</f>
        <v/>
      </c>
      <c r="C67" s="17" t="str">
        <f>IF('Personnel Yr 1'!$K$5&gt;4,IF(ISBLANK('Personnel Yr 4'!C67),"",'Personnel Yr 4'!C67),"")</f>
        <v/>
      </c>
      <c r="D67" s="17" t="str">
        <f>IF('Personnel Yr 1'!$K$5&gt;4,IF(ISBLANK('Personnel Yr 4'!D67),"",'Personnel Yr 4'!D67),"")</f>
        <v/>
      </c>
      <c r="E67" s="17" t="str">
        <f>IF('Personnel Yr 1'!$K$5&gt;4,IF(ISBLANK('Personnel Yr 4'!E67),"",'Personnel Yr 4'!E67),"")</f>
        <v/>
      </c>
      <c r="F67" s="17" t="str">
        <f>IF('Personnel Yr 1'!$K$5&gt;4,IF(ISBLANK('Personnel Yr 4'!F67),"",'Personnel Yr 4'!F67),"")</f>
        <v/>
      </c>
      <c r="G67" s="483" t="str">
        <f>IF('Personnel Yr 1'!$K$5&gt;4,IF(ISBLANK('Personnel Yr 4'!G67),"",'Personnel Yr 4'!G67),"")</f>
        <v/>
      </c>
      <c r="H67" s="484"/>
      <c r="I67" s="485"/>
      <c r="J67" s="17" t="str">
        <f>IF('Personnel Yr 1'!$K$5&gt;4,IF(AND(OR(ISBLANK($I67),$I67=""),ISBLANK('Personnel Yr 4'!J67)),"",'Personnel Yr 4'!J67),"")</f>
        <v/>
      </c>
      <c r="K67" s="17" t="str">
        <f>IF('Personnel Yr 1'!$K$5&gt;4,IF(AND(OR(ISBLANK($I67),$I67=""),ISBLANK('Personnel Yr 4'!K67)),"",'Personnel Yr 4'!K67),"")</f>
        <v/>
      </c>
      <c r="L67" s="17" t="str">
        <f>IF('Personnel Yr 1'!$K$5&gt;4,IF(AND(OR(ISBLANK($I67),$I67=""),ISBLANK('Personnel Yr 4'!L67)),"",'Personnel Yr 4'!L67),"")</f>
        <v/>
      </c>
      <c r="M67" s="32" t="str">
        <f>IF('Personnel Yr 1'!$K$5&gt;4,IF(AND(NOT(ISBLANK('Personnel Yr 4'!M67)),'Personnel Yr 4'!M67&lt;&gt;""),(('Personnel Yr 4'!M67*'Personnel Yr 1'!$D$5)+'Personnel Yr 4'!M67),""),"")</f>
        <v/>
      </c>
      <c r="N67" s="34" t="str">
        <f t="shared" si="10"/>
        <v/>
      </c>
      <c r="O67" s="40" t="str">
        <f t="shared" si="11"/>
        <v/>
      </c>
      <c r="P67" s="15"/>
      <c r="AF67"/>
      <c r="AG67"/>
      <c r="AH67"/>
      <c r="AI67"/>
      <c r="AJ67"/>
      <c r="AK67"/>
      <c r="AL67"/>
      <c r="AM67"/>
      <c r="AN67"/>
      <c r="AO67"/>
      <c r="AP67"/>
      <c r="AQ67"/>
      <c r="AR67"/>
      <c r="AS67"/>
      <c r="AT67"/>
      <c r="AU67"/>
      <c r="AV67"/>
      <c r="AW67"/>
      <c r="AX67"/>
      <c r="AY67"/>
      <c r="AZ67"/>
      <c r="BA67"/>
    </row>
    <row r="68" spans="1:53" x14ac:dyDescent="0.2">
      <c r="A68" s="4">
        <v>16</v>
      </c>
      <c r="B68" s="5" t="str">
        <f>IF('Personnel Yr 1'!$K$5&gt;4,IF(ISBLANK('Personnel Yr 4'!B68),"",'Personnel Yr 4'!B68),"")</f>
        <v/>
      </c>
      <c r="C68" s="17" t="str">
        <f>IF('Personnel Yr 1'!$K$5&gt;4,IF(ISBLANK('Personnel Yr 4'!C68),"",'Personnel Yr 4'!C68),"")</f>
        <v/>
      </c>
      <c r="D68" s="17" t="str">
        <f>IF('Personnel Yr 1'!$K$5&gt;4,IF(ISBLANK('Personnel Yr 4'!D68),"",'Personnel Yr 4'!D68),"")</f>
        <v/>
      </c>
      <c r="E68" s="17" t="str">
        <f>IF('Personnel Yr 1'!$K$5&gt;4,IF(ISBLANK('Personnel Yr 4'!E68),"",'Personnel Yr 4'!E68),"")</f>
        <v/>
      </c>
      <c r="F68" s="17" t="str">
        <f>IF('Personnel Yr 1'!$K$5&gt;4,IF(ISBLANK('Personnel Yr 4'!F68),"",'Personnel Yr 4'!F68),"")</f>
        <v/>
      </c>
      <c r="G68" s="483" t="str">
        <f>IF('Personnel Yr 1'!$K$5&gt;4,IF(ISBLANK('Personnel Yr 4'!G68),"",'Personnel Yr 4'!G68),"")</f>
        <v/>
      </c>
      <c r="H68" s="484"/>
      <c r="I68" s="485"/>
      <c r="J68" s="17" t="str">
        <f>IF('Personnel Yr 1'!$K$5&gt;4,IF(AND(OR(ISBLANK($I68),$I68=""),ISBLANK('Personnel Yr 4'!J68)),"",'Personnel Yr 4'!J68),"")</f>
        <v/>
      </c>
      <c r="K68" s="17" t="str">
        <f>IF('Personnel Yr 1'!$K$5&gt;4,IF(AND(OR(ISBLANK($I68),$I68=""),ISBLANK('Personnel Yr 4'!K68)),"",'Personnel Yr 4'!K68),"")</f>
        <v/>
      </c>
      <c r="L68" s="17" t="str">
        <f>IF('Personnel Yr 1'!$K$5&gt;4,IF(AND(OR(ISBLANK($I68),$I68=""),ISBLANK('Personnel Yr 4'!L68)),"",'Personnel Yr 4'!L68),"")</f>
        <v/>
      </c>
      <c r="M68" s="32" t="str">
        <f>IF('Personnel Yr 1'!$K$5&gt;4,IF(AND(NOT(ISBLANK('Personnel Yr 4'!M68)),'Personnel Yr 4'!M68&lt;&gt;""),(('Personnel Yr 4'!M68*'Personnel Yr 1'!$D$5)+'Personnel Yr 4'!M68),""),"")</f>
        <v/>
      </c>
      <c r="N68" s="34" t="str">
        <f t="shared" si="10"/>
        <v/>
      </c>
      <c r="O68" s="40" t="str">
        <f t="shared" si="11"/>
        <v/>
      </c>
      <c r="P68" s="188"/>
      <c r="AF68"/>
      <c r="AG68"/>
      <c r="AH68"/>
      <c r="AI68"/>
      <c r="AJ68"/>
      <c r="AK68"/>
      <c r="AL68"/>
      <c r="AM68"/>
      <c r="AN68"/>
      <c r="AO68"/>
      <c r="AP68"/>
      <c r="AQ68"/>
      <c r="AR68"/>
      <c r="AS68"/>
      <c r="AT68"/>
      <c r="AU68"/>
      <c r="AV68"/>
      <c r="AW68"/>
      <c r="AX68"/>
      <c r="AY68"/>
      <c r="AZ68"/>
      <c r="BA68"/>
    </row>
    <row r="69" spans="1:53" x14ac:dyDescent="0.2">
      <c r="A69" s="4">
        <v>17</v>
      </c>
      <c r="B69" s="5" t="str">
        <f>IF('Personnel Yr 1'!$K$5&gt;4,IF(ISBLANK('Personnel Yr 4'!B69),"",'Personnel Yr 4'!B69),"")</f>
        <v/>
      </c>
      <c r="C69" s="17" t="str">
        <f>IF('Personnel Yr 1'!$K$5&gt;4,IF(ISBLANK('Personnel Yr 4'!C69),"",'Personnel Yr 4'!C69),"")</f>
        <v/>
      </c>
      <c r="D69" s="17" t="str">
        <f>IF('Personnel Yr 1'!$K$5&gt;4,IF(ISBLANK('Personnel Yr 4'!D69),"",'Personnel Yr 4'!D69),"")</f>
        <v/>
      </c>
      <c r="E69" s="17" t="str">
        <f>IF('Personnel Yr 1'!$K$5&gt;4,IF(ISBLANK('Personnel Yr 4'!E69),"",'Personnel Yr 4'!E69),"")</f>
        <v/>
      </c>
      <c r="F69" s="17" t="str">
        <f>IF('Personnel Yr 1'!$K$5&gt;4,IF(ISBLANK('Personnel Yr 4'!F69),"",'Personnel Yr 4'!F69),"")</f>
        <v/>
      </c>
      <c r="G69" s="483" t="str">
        <f>IF('Personnel Yr 1'!$K$5&gt;4,IF(ISBLANK('Personnel Yr 4'!G69),"",'Personnel Yr 4'!G69),"")</f>
        <v/>
      </c>
      <c r="H69" s="484"/>
      <c r="I69" s="485"/>
      <c r="J69" s="17" t="str">
        <f>IF('Personnel Yr 1'!$K$5&gt;4,IF(AND(OR(ISBLANK($I69),$I69=""),ISBLANK('Personnel Yr 4'!J69)),"",'Personnel Yr 4'!J69),"")</f>
        <v/>
      </c>
      <c r="K69" s="17" t="str">
        <f>IF('Personnel Yr 1'!$K$5&gt;4,IF(AND(OR(ISBLANK($I69),$I69=""),ISBLANK('Personnel Yr 4'!K69)),"",'Personnel Yr 4'!K69),"")</f>
        <v/>
      </c>
      <c r="L69" s="17" t="str">
        <f>IF('Personnel Yr 1'!$K$5&gt;4,IF(AND(OR(ISBLANK($I69),$I69=""),ISBLANK('Personnel Yr 4'!L69)),"",'Personnel Yr 4'!L69),"")</f>
        <v/>
      </c>
      <c r="M69" s="32" t="str">
        <f>IF('Personnel Yr 1'!$K$5&gt;4,IF(AND(NOT(ISBLANK('Personnel Yr 4'!M69)),'Personnel Yr 4'!M69&lt;&gt;""),(('Personnel Yr 4'!M69*'Personnel Yr 1'!$D$5)+'Personnel Yr 4'!M69),""),"")</f>
        <v/>
      </c>
      <c r="N69" s="34" t="str">
        <f t="shared" si="10"/>
        <v/>
      </c>
      <c r="O69" s="40" t="str">
        <f t="shared" si="11"/>
        <v/>
      </c>
      <c r="P69" s="188"/>
      <c r="AF69"/>
      <c r="AG69"/>
      <c r="AH69"/>
      <c r="AI69"/>
      <c r="AJ69"/>
      <c r="AK69"/>
      <c r="AL69"/>
      <c r="AM69"/>
      <c r="AN69"/>
      <c r="AO69"/>
      <c r="AP69"/>
      <c r="AQ69"/>
      <c r="AR69"/>
      <c r="AS69"/>
      <c r="AT69"/>
      <c r="AU69"/>
      <c r="AV69"/>
      <c r="AW69"/>
      <c r="AX69"/>
      <c r="AY69"/>
      <c r="AZ69"/>
      <c r="BA69"/>
    </row>
    <row r="70" spans="1:53" x14ac:dyDescent="0.2">
      <c r="A70" s="4">
        <v>18</v>
      </c>
      <c r="B70" s="5" t="str">
        <f>IF('Personnel Yr 1'!$K$5&gt;4,IF(ISBLANK('Personnel Yr 4'!B70),"",'Personnel Yr 4'!B70),"")</f>
        <v/>
      </c>
      <c r="C70" s="17" t="str">
        <f>IF('Personnel Yr 1'!$K$5&gt;4,IF(ISBLANK('Personnel Yr 4'!C70),"",'Personnel Yr 4'!C70),"")</f>
        <v/>
      </c>
      <c r="D70" s="17" t="str">
        <f>IF('Personnel Yr 1'!$K$5&gt;4,IF(ISBLANK('Personnel Yr 4'!D70),"",'Personnel Yr 4'!D70),"")</f>
        <v/>
      </c>
      <c r="E70" s="17" t="str">
        <f>IF('Personnel Yr 1'!$K$5&gt;4,IF(ISBLANK('Personnel Yr 4'!E70),"",'Personnel Yr 4'!E70),"")</f>
        <v/>
      </c>
      <c r="F70" s="17" t="str">
        <f>IF('Personnel Yr 1'!$K$5&gt;4,IF(ISBLANK('Personnel Yr 4'!F70),"",'Personnel Yr 4'!F70),"")</f>
        <v/>
      </c>
      <c r="G70" s="483" t="str">
        <f>IF('Personnel Yr 1'!$K$5&gt;4,IF(ISBLANK('Personnel Yr 4'!G70),"",'Personnel Yr 4'!G70),"")</f>
        <v/>
      </c>
      <c r="H70" s="484"/>
      <c r="I70" s="485"/>
      <c r="J70" s="17" t="str">
        <f>IF('Personnel Yr 1'!$K$5&gt;4,IF(AND(OR(ISBLANK($I70),$I70=""),ISBLANK('Personnel Yr 4'!J70)),"",'Personnel Yr 4'!J70),"")</f>
        <v/>
      </c>
      <c r="K70" s="17" t="str">
        <f>IF('Personnel Yr 1'!$K$5&gt;4,IF(AND(OR(ISBLANK($I70),$I70=""),ISBLANK('Personnel Yr 4'!K70)),"",'Personnel Yr 4'!K70),"")</f>
        <v/>
      </c>
      <c r="L70" s="17" t="str">
        <f>IF('Personnel Yr 1'!$K$5&gt;4,IF(AND(OR(ISBLANK($I70),$I70=""),ISBLANK('Personnel Yr 4'!L70)),"",'Personnel Yr 4'!L70),"")</f>
        <v/>
      </c>
      <c r="M70" s="32" t="str">
        <f>IF('Personnel Yr 1'!$K$5&gt;4,IF(AND(NOT(ISBLANK('Personnel Yr 4'!M70)),'Personnel Yr 4'!M70&lt;&gt;""),(('Personnel Yr 4'!M70*'Personnel Yr 1'!$D$5)+'Personnel Yr 4'!M70),""),"")</f>
        <v/>
      </c>
      <c r="N70" s="34" t="str">
        <f t="shared" si="10"/>
        <v/>
      </c>
      <c r="O70" s="40" t="str">
        <f t="shared" si="11"/>
        <v/>
      </c>
      <c r="P70" s="188"/>
      <c r="AF70"/>
      <c r="AG70"/>
      <c r="AH70"/>
      <c r="AI70"/>
      <c r="AJ70"/>
      <c r="AK70"/>
      <c r="AL70"/>
      <c r="AM70"/>
      <c r="AN70"/>
      <c r="AO70"/>
      <c r="AP70"/>
      <c r="AQ70"/>
      <c r="AR70"/>
      <c r="AS70"/>
      <c r="AT70"/>
      <c r="AU70"/>
      <c r="AV70"/>
      <c r="AW70"/>
      <c r="AX70"/>
      <c r="AY70"/>
      <c r="AZ70"/>
      <c r="BA70"/>
    </row>
    <row r="71" spans="1:53" x14ac:dyDescent="0.2">
      <c r="A71" s="4">
        <v>19</v>
      </c>
      <c r="B71" s="5" t="str">
        <f>IF('Personnel Yr 1'!$K$5&gt;4,IF(ISBLANK('Personnel Yr 4'!B71),"",'Personnel Yr 4'!B71),"")</f>
        <v/>
      </c>
      <c r="C71" s="17" t="str">
        <f>IF('Personnel Yr 1'!$K$5&gt;4,IF(ISBLANK('Personnel Yr 4'!C71),"",'Personnel Yr 4'!C71),"")</f>
        <v/>
      </c>
      <c r="D71" s="17" t="str">
        <f>IF('Personnel Yr 1'!$K$5&gt;4,IF(ISBLANK('Personnel Yr 4'!D71),"",'Personnel Yr 4'!D71),"")</f>
        <v/>
      </c>
      <c r="E71" s="17" t="str">
        <f>IF('Personnel Yr 1'!$K$5&gt;4,IF(ISBLANK('Personnel Yr 4'!E71),"",'Personnel Yr 4'!E71),"")</f>
        <v/>
      </c>
      <c r="F71" s="17" t="str">
        <f>IF('Personnel Yr 1'!$K$5&gt;4,IF(ISBLANK('Personnel Yr 4'!F71),"",'Personnel Yr 4'!F71),"")</f>
        <v/>
      </c>
      <c r="G71" s="483" t="str">
        <f>IF('Personnel Yr 1'!$K$5&gt;4,IF(ISBLANK('Personnel Yr 4'!G71),"",'Personnel Yr 4'!G71),"")</f>
        <v/>
      </c>
      <c r="H71" s="484"/>
      <c r="I71" s="485"/>
      <c r="J71" s="17" t="str">
        <f>IF('Personnel Yr 1'!$K$5&gt;4,IF(AND(OR(ISBLANK($I71),$I71=""),ISBLANK('Personnel Yr 4'!J71)),"",'Personnel Yr 4'!J71),"")</f>
        <v/>
      </c>
      <c r="K71" s="17" t="str">
        <f>IF('Personnel Yr 1'!$K$5&gt;4,IF(AND(OR(ISBLANK($I71),$I71=""),ISBLANK('Personnel Yr 4'!K71)),"",'Personnel Yr 4'!K71),"")</f>
        <v/>
      </c>
      <c r="L71" s="17" t="str">
        <f>IF('Personnel Yr 1'!$K$5&gt;4,IF(AND(OR(ISBLANK($I71),$I71=""),ISBLANK('Personnel Yr 4'!L71)),"",'Personnel Yr 4'!L71),"")</f>
        <v/>
      </c>
      <c r="M71" s="32" t="str">
        <f>IF('Personnel Yr 1'!$K$5&gt;4,IF(AND(NOT(ISBLANK('Personnel Yr 4'!M71)),'Personnel Yr 4'!M71&lt;&gt;""),(('Personnel Yr 4'!M71*'Personnel Yr 1'!$D$5)+'Personnel Yr 4'!M71),""),"")</f>
        <v/>
      </c>
      <c r="N71" s="34" t="str">
        <f t="shared" si="10"/>
        <v/>
      </c>
      <c r="O71" s="40" t="str">
        <f t="shared" si="11"/>
        <v/>
      </c>
      <c r="P71" s="188"/>
      <c r="AF71"/>
      <c r="AG71"/>
      <c r="AH71"/>
      <c r="AI71"/>
      <c r="AJ71"/>
      <c r="AK71"/>
      <c r="AL71"/>
      <c r="AM71"/>
      <c r="AN71"/>
      <c r="AO71"/>
      <c r="AP71"/>
      <c r="AQ71"/>
      <c r="AR71"/>
      <c r="AS71"/>
      <c r="AT71"/>
      <c r="AU71"/>
      <c r="AV71"/>
      <c r="AW71"/>
      <c r="AX71"/>
      <c r="AY71"/>
      <c r="AZ71"/>
      <c r="BA71"/>
    </row>
    <row r="72" spans="1:53" ht="13.5" thickBot="1" x14ac:dyDescent="0.25">
      <c r="A72" s="4">
        <v>20</v>
      </c>
      <c r="B72" s="202" t="str">
        <f>IF('Personnel Yr 1'!$K$5&gt;4,IF(ISBLANK('Personnel Yr 4'!B72),"",'Personnel Yr 4'!B72),"")</f>
        <v/>
      </c>
      <c r="C72" s="22" t="str">
        <f>IF('Personnel Yr 1'!$K$5&gt;4,IF(ISBLANK('Personnel Yr 4'!C72),"",'Personnel Yr 4'!C72),"")</f>
        <v/>
      </c>
      <c r="D72" s="22" t="str">
        <f>IF('Personnel Yr 1'!$K$5&gt;4,IF(ISBLANK('Personnel Yr 4'!D72),"",'Personnel Yr 4'!D72),"")</f>
        <v/>
      </c>
      <c r="E72" s="22" t="str">
        <f>IF('Personnel Yr 1'!$K$5&gt;4,IF(ISBLANK('Personnel Yr 4'!E72),"",'Personnel Yr 4'!E72),"")</f>
        <v/>
      </c>
      <c r="F72" s="22" t="str">
        <f>IF('Personnel Yr 1'!$K$5&gt;4,IF(ISBLANK('Personnel Yr 4'!F72),"",'Personnel Yr 4'!F72),"")</f>
        <v/>
      </c>
      <c r="G72" s="550" t="str">
        <f>IF('Personnel Yr 1'!$K$5&gt;4,IF(ISBLANK('Personnel Yr 4'!G72),"",'Personnel Yr 4'!G72),"")</f>
        <v/>
      </c>
      <c r="H72" s="551"/>
      <c r="I72" s="552"/>
      <c r="J72" s="22" t="str">
        <f>IF('Personnel Yr 1'!$K$5&gt;4,IF(AND(OR(ISBLANK($I72),$I72=""),ISBLANK('Personnel Yr 4'!J72)),"",'Personnel Yr 4'!J72),"")</f>
        <v/>
      </c>
      <c r="K72" s="22" t="str">
        <f>IF('Personnel Yr 1'!$K$5&gt;4,IF(AND(OR(ISBLANK($I72),$I72=""),ISBLANK('Personnel Yr 4'!K72)),"",'Personnel Yr 4'!K72),"")</f>
        <v/>
      </c>
      <c r="L72" s="22" t="str">
        <f>IF('Personnel Yr 1'!$K$5&gt;4,IF(AND(OR(ISBLANK($I72),$I72=""),ISBLANK('Personnel Yr 4'!L72)),"",'Personnel Yr 4'!L72),"")</f>
        <v/>
      </c>
      <c r="M72" s="33" t="str">
        <f>IF('Personnel Yr 1'!$K$5&gt;4,IF(AND(NOT(ISBLANK('Personnel Yr 4'!M72)),'Personnel Yr 4'!M72&lt;&gt;""),(('Personnel Yr 4'!M72*'Personnel Yr 1'!$D$5)+'Personnel Yr 4'!M72),""),"")</f>
        <v/>
      </c>
      <c r="N72" s="42" t="str">
        <f t="shared" si="10"/>
        <v/>
      </c>
      <c r="O72" s="208" t="str">
        <f t="shared" si="11"/>
        <v/>
      </c>
      <c r="P72" s="188"/>
      <c r="AF72"/>
      <c r="AG72"/>
      <c r="AH72"/>
      <c r="AI72"/>
      <c r="AJ72"/>
      <c r="AK72"/>
      <c r="AL72"/>
      <c r="AM72"/>
      <c r="AN72"/>
      <c r="AO72"/>
      <c r="AP72"/>
      <c r="AQ72"/>
      <c r="AR72"/>
      <c r="AS72"/>
      <c r="AT72"/>
      <c r="AU72"/>
      <c r="AV72"/>
      <c r="AW72"/>
      <c r="AX72"/>
      <c r="AY72"/>
      <c r="AZ72"/>
      <c r="BA72"/>
    </row>
    <row r="73" spans="1:53" ht="13.5" thickBot="1" x14ac:dyDescent="0.25">
      <c r="B73" s="406">
        <f>COUNTIF(E53:E67,"*")</f>
        <v>15</v>
      </c>
      <c r="O73" s="327">
        <f>SUM(O53:O67)</f>
        <v>0</v>
      </c>
      <c r="P73" s="414"/>
      <c r="AF73"/>
      <c r="AG73"/>
      <c r="AH73"/>
      <c r="AI73"/>
      <c r="AJ73"/>
      <c r="AK73"/>
      <c r="AL73"/>
      <c r="AM73"/>
      <c r="AN73"/>
      <c r="AO73"/>
      <c r="AP73"/>
      <c r="AQ73"/>
      <c r="AR73"/>
      <c r="AS73"/>
      <c r="AT73"/>
      <c r="AU73"/>
      <c r="AV73"/>
      <c r="AW73"/>
      <c r="AX73"/>
      <c r="AY73"/>
      <c r="AZ73"/>
      <c r="BA73"/>
    </row>
    <row r="74" spans="1:53" ht="13.5" thickBot="1" x14ac:dyDescent="0.25">
      <c r="I74" s="8"/>
      <c r="J74" s="9"/>
      <c r="K74" s="9"/>
      <c r="L74" s="9"/>
      <c r="M74" s="9"/>
      <c r="N74" s="9"/>
      <c r="O74" s="330"/>
    </row>
    <row r="75" spans="1:53" ht="12.75" customHeight="1" x14ac:dyDescent="0.2">
      <c r="G75" s="335" t="s">
        <v>448</v>
      </c>
      <c r="H75" s="335"/>
      <c r="I75" s="533" t="s">
        <v>225</v>
      </c>
      <c r="J75" s="534"/>
      <c r="K75" s="534"/>
      <c r="L75" s="534"/>
      <c r="M75" s="535"/>
    </row>
    <row r="76" spans="1:53" ht="12.75" customHeight="1" thickBot="1" x14ac:dyDescent="0.25">
      <c r="G76" s="335" t="b">
        <f>IFERROR(OR(AND('Personnel Yr 1'!O5="Federal - NIH",SUM('Non-personnel'!$J$41,$O$41)/$B$41&lt;=NIHGradLimit),'Personnel Yr 1'!O5&lt;&gt;"Federal - NIH"),TRUE)</f>
        <v>1</v>
      </c>
      <c r="H76" s="335"/>
      <c r="I76" s="536"/>
      <c r="J76" s="537"/>
      <c r="K76" s="537"/>
      <c r="L76" s="537"/>
      <c r="M76" s="538"/>
    </row>
    <row r="77" spans="1:53" ht="12.75" customHeight="1" x14ac:dyDescent="0.2">
      <c r="G77" s="335" t="e">
        <f>SUM('Non-personnel'!$P$41,$O$41)/$B$41</f>
        <v>#VALUE!</v>
      </c>
      <c r="H77" s="335"/>
      <c r="I77" s="525" t="s">
        <v>230</v>
      </c>
      <c r="J77" s="555"/>
      <c r="K77" s="555"/>
      <c r="L77" s="555"/>
      <c r="M77" s="556"/>
    </row>
    <row r="78" spans="1:53" ht="12.75" customHeight="1" x14ac:dyDescent="0.2">
      <c r="I78" s="557"/>
      <c r="J78" s="558"/>
      <c r="K78" s="558"/>
      <c r="L78" s="558"/>
      <c r="M78" s="559"/>
    </row>
    <row r="79" spans="1:53" ht="12.75" customHeight="1" x14ac:dyDescent="0.2">
      <c r="I79" s="557"/>
      <c r="J79" s="558"/>
      <c r="K79" s="558"/>
      <c r="L79" s="558"/>
      <c r="M79" s="559"/>
    </row>
    <row r="80" spans="1:53" ht="12.75" customHeight="1" x14ac:dyDescent="0.2">
      <c r="I80" s="557"/>
      <c r="J80" s="558"/>
      <c r="K80" s="558"/>
      <c r="L80" s="558"/>
      <c r="M80" s="559"/>
    </row>
    <row r="81" spans="9:13" ht="12.75" customHeight="1" thickBot="1" x14ac:dyDescent="0.25">
      <c r="I81" s="560"/>
      <c r="J81" s="561"/>
      <c r="K81" s="561"/>
      <c r="L81" s="561"/>
      <c r="M81" s="562"/>
    </row>
    <row r="82" spans="9:13" ht="12.75" customHeight="1" thickBot="1" x14ac:dyDescent="0.25">
      <c r="I82" s="200" t="s">
        <v>226</v>
      </c>
      <c r="J82" s="193"/>
      <c r="K82" s="199" t="s">
        <v>227</v>
      </c>
      <c r="L82" s="199" t="s">
        <v>228</v>
      </c>
      <c r="M82" s="198" t="s">
        <v>229</v>
      </c>
    </row>
    <row r="83" spans="9:13" ht="12.75" customHeight="1" thickBot="1" x14ac:dyDescent="0.25">
      <c r="I83" s="194">
        <v>0</v>
      </c>
      <c r="J83" s="195"/>
      <c r="K83" s="196">
        <f>I83*12</f>
        <v>0</v>
      </c>
      <c r="L83" s="196">
        <f>I83*8.5</f>
        <v>0</v>
      </c>
      <c r="M83" s="197">
        <f>I83*3.5</f>
        <v>0</v>
      </c>
    </row>
  </sheetData>
  <sheetProtection algorithmName="SHA-512" hashValue="B/7GbPW/EcKPtVC1Pf5pILVlQdpGiKyFUAwodXuiEcUJi+xXfXVwRn59HQC2kwxvnMVZ+N2j67s0G2Q/GmPISg==" saltValue="HHuR6hUc3WA7r38pMka3ww==" spinCount="100000" sheet="1" objects="1" scenarios="1"/>
  <mergeCells count="47">
    <mergeCell ref="C43:F43"/>
    <mergeCell ref="C47:I47"/>
    <mergeCell ref="C48:I48"/>
    <mergeCell ref="I75:M76"/>
    <mergeCell ref="I77:M81"/>
    <mergeCell ref="C44:I44"/>
    <mergeCell ref="C45:I45"/>
    <mergeCell ref="C46:I46"/>
    <mergeCell ref="C49:F49"/>
    <mergeCell ref="J49:N49"/>
    <mergeCell ref="J50:N50"/>
    <mergeCell ref="B51:D51"/>
    <mergeCell ref="G57:I57"/>
    <mergeCell ref="G58:I58"/>
    <mergeCell ref="G59:I59"/>
    <mergeCell ref="G60:I60"/>
    <mergeCell ref="B37:C37"/>
    <mergeCell ref="D37:L37"/>
    <mergeCell ref="A3:O3"/>
    <mergeCell ref="C39:I39"/>
    <mergeCell ref="C42:I42"/>
    <mergeCell ref="C40:I40"/>
    <mergeCell ref="C16:F16"/>
    <mergeCell ref="C41:I41"/>
    <mergeCell ref="B18:D18"/>
    <mergeCell ref="A1:O1"/>
    <mergeCell ref="B5:C5"/>
    <mergeCell ref="C15:F15"/>
    <mergeCell ref="K16:N16"/>
    <mergeCell ref="G15:N15"/>
    <mergeCell ref="P52:Q52"/>
    <mergeCell ref="G53:I53"/>
    <mergeCell ref="G54:I54"/>
    <mergeCell ref="G55:I55"/>
    <mergeCell ref="G56:I56"/>
    <mergeCell ref="G61:I61"/>
    <mergeCell ref="G62:I62"/>
    <mergeCell ref="G63:I63"/>
    <mergeCell ref="G64:I64"/>
    <mergeCell ref="G65:I65"/>
    <mergeCell ref="G71:I71"/>
    <mergeCell ref="G72:I72"/>
    <mergeCell ref="G66:I66"/>
    <mergeCell ref="G67:I67"/>
    <mergeCell ref="G68:I68"/>
    <mergeCell ref="G69:I69"/>
    <mergeCell ref="G70:I70"/>
  </mergeCells>
  <phoneticPr fontId="5" type="noConversion"/>
  <conditionalFormatting sqref="I7:I14">
    <cfRule type="expression" dxfId="10" priority="7">
      <formula>$Z$7</formula>
    </cfRule>
  </conditionalFormatting>
  <conditionalFormatting sqref="I20:I34">
    <cfRule type="expression" dxfId="9" priority="4">
      <formula>$Z$7</formula>
    </cfRule>
  </conditionalFormatting>
  <conditionalFormatting sqref="I43">
    <cfRule type="cellIs" dxfId="8" priority="3" stopIfTrue="1" operator="equal">
      <formula>""</formula>
    </cfRule>
  </conditionalFormatting>
  <conditionalFormatting sqref="M53:M72">
    <cfRule type="expression" dxfId="7" priority="2">
      <formula>$Z$7</formula>
    </cfRule>
  </conditionalFormatting>
  <dataValidations count="5">
    <dataValidation type="list" allowBlank="1" showInputMessage="1" showErrorMessage="1" sqref="I43" xr:uid="{38E0A0BE-7614-4F39-987C-6EF355CAF90D}">
      <formula1>Grad</formula1>
    </dataValidation>
    <dataValidation type="list" allowBlank="1" showInputMessage="1" showErrorMessage="1" sqref="B7:B14 B20:B34 B53:B72" xr:uid="{00000000-0002-0000-0500-000001000000}">
      <formula1>Prefix</formula1>
    </dataValidation>
    <dataValidation type="list" allowBlank="1" showInputMessage="1" showErrorMessage="1" sqref="G20:G34 G7:G14" xr:uid="{00000000-0002-0000-0500-000002000000}">
      <formula1>Roles</formula1>
    </dataValidation>
    <dataValidation type="list" allowBlank="1" showInputMessage="1" showErrorMessage="1" sqref="H20:H34 H7:H14" xr:uid="{27E2E6B0-11D8-4932-A56C-74C7D01883A8}">
      <formula1>Designation</formula1>
    </dataValidation>
    <dataValidation type="list" allowBlank="1" showInputMessage="1" showErrorMessage="1" sqref="G53:I72" xr:uid="{EE2612F3-7A0A-4B84-A894-6E7CEEEBB87E}">
      <formula1>OtherRoles</formula1>
    </dataValidation>
  </dataValidations>
  <printOptions horizontalCentered="1"/>
  <pageMargins left="0.25" right="0.25" top="0.5" bottom="0.5" header="0.5" footer="0.5"/>
  <pageSetup scale="78" orientation="landscape" r:id="rId1"/>
  <headerFooter alignWithMargins="0">
    <oddFooter>&amp;RPrinted On: &amp;D &amp;T</oddFooter>
  </headerFooter>
  <rowBreaks count="1" manualBreakCount="1">
    <brk id="50" max="14" man="1"/>
  </rowBreaks>
  <ignoredErrors>
    <ignoredError sqref="B7:G14 O7:O14 C15:G15 C16:F16 J15:L17 B17:G17 N15:N17 O17 M15:M17 I15:I17" unlockedFormula="1"/>
  </ignoredErrors>
  <extLst>
    <ext xmlns:x14="http://schemas.microsoft.com/office/spreadsheetml/2009/9/main" uri="{78C0D931-6437-407d-A8EE-F0AAD7539E65}">
      <x14:conditionalFormattings>
        <x14:conditionalFormatting xmlns:xm="http://schemas.microsoft.com/office/excel/2006/main">
          <x14:cfRule type="expression" priority="1" id="{177BAC8D-710B-4882-AC57-CB10912249E0}">
            <xm:f>IF(O5="Federal - NIH",SUM('Non-personnel'!$H$41,$O$43)/IF(OR(ISBLANK($B$43),NOT(ISNUMBER($B$43))),1,$B$43)&gt;NIHGradLimit)</xm:f>
            <x14:dxf>
              <fill>
                <patternFill>
                  <bgColor rgb="FFFFFF00"/>
                </patternFill>
              </fill>
            </x14:dxf>
          </x14:cfRule>
          <xm:sqref>O43</xm:sqref>
        </x14:conditionalFormatting>
      </x14:conditionalFormattings>
    </ext>
    <ext xmlns:x14="http://schemas.microsoft.com/office/spreadsheetml/2009/9/main" uri="{CCE6A557-97BC-4b89-ADB6-D9C93CAAB3DF}">
      <x14:dataValidations xmlns:xm="http://schemas.microsoft.com/office/excel/2006/main" count="1">
        <x14:dataValidation type="custom" errorStyle="information" allowBlank="1" showInputMessage="1" showErrorMessage="1" errorTitle="Salary Cap Error" error="Base salary should remain under $221,900 for calandar appointments and $157,179 for academic appointments." xr:uid="{E4D73380-F1EF-4914-A658-FE88C83E3353}">
          <x14:formula1>
            <xm:f>IF(AND('Personnel Yr 1'!$O$5="Federal - NIH",OR(NOT(ISBLANK($J7)),NOT(ISBLANK($K7)),NOT(ISBLANK($L7)),$J7&lt;&gt;"",$K7&lt;&gt;"",$L7&lt;&gt;"")),IF($J7&gt;0,$I7&lt;=NIHSalaryCap,$I7&lt;=(NIHSalaryCap*8.5)/12),TRUE)</xm:f>
          </x14:formula1>
          <xm:sqref>I7:I14 I20:I34 J7:J14 J20:J34 J53:J72 K53:K72 K20:K34 K7:K14 L7:L14 L20:L34 L53:L72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U93"/>
  <sheetViews>
    <sheetView workbookViewId="0">
      <selection sqref="A1:S1"/>
    </sheetView>
  </sheetViews>
  <sheetFormatPr defaultRowHeight="12.75" x14ac:dyDescent="0.2"/>
  <cols>
    <col min="1" max="1" width="3" bestFit="1" customWidth="1"/>
    <col min="2" max="2" width="12.7109375" customWidth="1"/>
    <col min="3" max="4" width="10" customWidth="1"/>
    <col min="5" max="5" width="8.7109375" customWidth="1"/>
    <col min="6" max="6" width="8.85546875" customWidth="1"/>
    <col min="7" max="9" width="10" customWidth="1"/>
    <col min="20" max="20" width="74.5703125" bestFit="1" customWidth="1"/>
  </cols>
  <sheetData>
    <row r="1" spans="1:21" ht="18" x14ac:dyDescent="0.25">
      <c r="A1" s="539" t="s">
        <v>71</v>
      </c>
      <c r="B1" s="539"/>
      <c r="C1" s="539"/>
      <c r="D1" s="539"/>
      <c r="E1" s="539"/>
      <c r="F1" s="539"/>
      <c r="G1" s="539"/>
      <c r="H1" s="539"/>
      <c r="I1" s="539"/>
      <c r="J1" s="539"/>
      <c r="K1" s="539"/>
      <c r="L1" s="539"/>
      <c r="M1" s="539"/>
      <c r="N1" s="539"/>
      <c r="O1" s="539"/>
      <c r="P1" s="539"/>
      <c r="Q1" s="539"/>
      <c r="R1" s="539"/>
      <c r="S1" s="539"/>
    </row>
    <row r="2" spans="1:21" x14ac:dyDescent="0.2">
      <c r="A2" s="1"/>
      <c r="B2" s="1"/>
      <c r="C2" s="1"/>
      <c r="D2" s="1"/>
      <c r="E2" s="1"/>
      <c r="F2" s="1"/>
      <c r="G2" s="1"/>
      <c r="H2" s="1"/>
      <c r="I2" s="1"/>
      <c r="J2" s="1"/>
      <c r="K2" s="1"/>
      <c r="L2" s="1"/>
      <c r="M2" s="1"/>
      <c r="N2" s="1"/>
      <c r="O2" s="24"/>
      <c r="P2" s="24"/>
      <c r="Q2" s="24"/>
      <c r="R2" s="24"/>
      <c r="S2" s="24"/>
    </row>
    <row r="3" spans="1:21" ht="18" x14ac:dyDescent="0.25">
      <c r="A3" s="539" t="s">
        <v>76</v>
      </c>
      <c r="B3" s="539"/>
      <c r="C3" s="539"/>
      <c r="D3" s="539"/>
      <c r="E3" s="539"/>
      <c r="F3" s="539"/>
      <c r="G3" s="539"/>
      <c r="H3" s="539"/>
      <c r="I3" s="539"/>
      <c r="J3" s="539"/>
      <c r="K3" s="539"/>
      <c r="L3" s="539"/>
      <c r="M3" s="539"/>
      <c r="N3" s="539"/>
      <c r="O3" s="539"/>
      <c r="P3" s="539"/>
      <c r="Q3" s="539"/>
      <c r="R3" s="539"/>
      <c r="S3" s="539"/>
    </row>
    <row r="4" spans="1:21" x14ac:dyDescent="0.2">
      <c r="B4" s="516" t="s">
        <v>11</v>
      </c>
      <c r="C4" s="516"/>
      <c r="D4" s="516"/>
    </row>
    <row r="5" spans="1:21" x14ac:dyDescent="0.2">
      <c r="B5" s="580" t="s">
        <v>12</v>
      </c>
      <c r="C5" s="580"/>
      <c r="D5" s="580"/>
      <c r="E5" s="580"/>
      <c r="F5" s="580"/>
      <c r="G5" s="580"/>
      <c r="H5" s="580"/>
      <c r="I5" s="580"/>
      <c r="J5" s="580"/>
    </row>
    <row r="6" spans="1:21" ht="16.5" customHeight="1" thickBot="1" x14ac:dyDescent="0.25">
      <c r="A6" s="4"/>
      <c r="B6" s="580" t="s">
        <v>69</v>
      </c>
      <c r="C6" s="611"/>
      <c r="D6" s="611"/>
      <c r="E6" s="611"/>
      <c r="F6" s="611"/>
      <c r="G6" s="611"/>
      <c r="H6" s="580" t="s">
        <v>32</v>
      </c>
      <c r="I6" s="580"/>
      <c r="J6" s="580" t="s">
        <v>33</v>
      </c>
      <c r="K6" s="580"/>
      <c r="L6" s="580" t="s">
        <v>34</v>
      </c>
      <c r="M6" s="580"/>
      <c r="N6" s="580" t="s">
        <v>35</v>
      </c>
      <c r="O6" s="580"/>
      <c r="P6" s="580" t="s">
        <v>36</v>
      </c>
      <c r="Q6" s="580"/>
      <c r="R6" s="580" t="s">
        <v>37</v>
      </c>
      <c r="S6" s="580"/>
      <c r="T6" s="2" t="s">
        <v>240</v>
      </c>
      <c r="U6" s="4"/>
    </row>
    <row r="7" spans="1:21" x14ac:dyDescent="0.2">
      <c r="A7" s="4">
        <v>1</v>
      </c>
      <c r="B7" s="613"/>
      <c r="C7" s="614"/>
      <c r="D7" s="614"/>
      <c r="E7" s="614"/>
      <c r="F7" s="614"/>
      <c r="G7" s="614"/>
      <c r="H7" s="615"/>
      <c r="I7" s="616"/>
      <c r="J7" s="615"/>
      <c r="K7" s="616"/>
      <c r="L7" s="615"/>
      <c r="M7" s="616"/>
      <c r="N7" s="615"/>
      <c r="O7" s="616"/>
      <c r="P7" s="615"/>
      <c r="Q7" s="616"/>
      <c r="R7" s="635">
        <f>SUM(H7:Q7)</f>
        <v>0</v>
      </c>
      <c r="S7" s="636"/>
      <c r="T7" s="190"/>
    </row>
    <row r="8" spans="1:21" x14ac:dyDescent="0.2">
      <c r="A8" s="4">
        <v>2</v>
      </c>
      <c r="B8" s="488"/>
      <c r="C8" s="612"/>
      <c r="D8" s="612"/>
      <c r="E8" s="612"/>
      <c r="F8" s="612"/>
      <c r="G8" s="612"/>
      <c r="H8" s="619"/>
      <c r="I8" s="620"/>
      <c r="J8" s="596"/>
      <c r="K8" s="597"/>
      <c r="L8" s="596"/>
      <c r="M8" s="597"/>
      <c r="N8" s="596"/>
      <c r="O8" s="597"/>
      <c r="P8" s="596"/>
      <c r="Q8" s="597"/>
      <c r="R8" s="609">
        <f t="shared" ref="R8:R14" si="0">SUM(H8:Q8)</f>
        <v>0</v>
      </c>
      <c r="S8" s="610"/>
      <c r="T8" s="15"/>
    </row>
    <row r="9" spans="1:21" x14ac:dyDescent="0.2">
      <c r="A9" s="4">
        <v>3</v>
      </c>
      <c r="B9" s="488"/>
      <c r="C9" s="612"/>
      <c r="D9" s="612"/>
      <c r="E9" s="612"/>
      <c r="F9" s="612"/>
      <c r="G9" s="612"/>
      <c r="H9" s="619"/>
      <c r="I9" s="620"/>
      <c r="J9" s="596"/>
      <c r="K9" s="597"/>
      <c r="L9" s="596"/>
      <c r="M9" s="597"/>
      <c r="N9" s="596"/>
      <c r="O9" s="597"/>
      <c r="P9" s="596"/>
      <c r="Q9" s="597"/>
      <c r="R9" s="609">
        <f t="shared" si="0"/>
        <v>0</v>
      </c>
      <c r="S9" s="610"/>
      <c r="T9" s="15"/>
    </row>
    <row r="10" spans="1:21" x14ac:dyDescent="0.2">
      <c r="A10" s="4">
        <v>4</v>
      </c>
      <c r="B10" s="488"/>
      <c r="C10" s="612"/>
      <c r="D10" s="612"/>
      <c r="E10" s="612"/>
      <c r="F10" s="612"/>
      <c r="G10" s="612"/>
      <c r="H10" s="619"/>
      <c r="I10" s="620"/>
      <c r="J10" s="596"/>
      <c r="K10" s="597"/>
      <c r="L10" s="596"/>
      <c r="M10" s="597"/>
      <c r="N10" s="596"/>
      <c r="O10" s="597"/>
      <c r="P10" s="596"/>
      <c r="Q10" s="597"/>
      <c r="R10" s="609">
        <f t="shared" si="0"/>
        <v>0</v>
      </c>
      <c r="S10" s="610"/>
      <c r="T10" s="15"/>
    </row>
    <row r="11" spans="1:21" x14ac:dyDescent="0.2">
      <c r="A11" s="4">
        <v>5</v>
      </c>
      <c r="B11" s="488"/>
      <c r="C11" s="612"/>
      <c r="D11" s="612"/>
      <c r="E11" s="612"/>
      <c r="F11" s="612"/>
      <c r="G11" s="612"/>
      <c r="H11" s="619"/>
      <c r="I11" s="620"/>
      <c r="J11" s="596"/>
      <c r="K11" s="597"/>
      <c r="L11" s="596"/>
      <c r="M11" s="597"/>
      <c r="N11" s="596"/>
      <c r="O11" s="597"/>
      <c r="P11" s="596"/>
      <c r="Q11" s="597"/>
      <c r="R11" s="609">
        <f t="shared" si="0"/>
        <v>0</v>
      </c>
      <c r="S11" s="610"/>
      <c r="T11" s="15"/>
    </row>
    <row r="12" spans="1:21" x14ac:dyDescent="0.2">
      <c r="A12" s="4">
        <v>6</v>
      </c>
      <c r="B12" s="488"/>
      <c r="C12" s="612"/>
      <c r="D12" s="612"/>
      <c r="E12" s="612"/>
      <c r="F12" s="612"/>
      <c r="G12" s="612"/>
      <c r="H12" s="619"/>
      <c r="I12" s="620"/>
      <c r="J12" s="596"/>
      <c r="K12" s="597"/>
      <c r="L12" s="596"/>
      <c r="M12" s="597"/>
      <c r="N12" s="596"/>
      <c r="O12" s="597"/>
      <c r="P12" s="596"/>
      <c r="Q12" s="597"/>
      <c r="R12" s="609">
        <f t="shared" si="0"/>
        <v>0</v>
      </c>
      <c r="S12" s="610"/>
      <c r="T12" s="15"/>
    </row>
    <row r="13" spans="1:21" x14ac:dyDescent="0.2">
      <c r="A13" s="4">
        <v>7</v>
      </c>
      <c r="B13" s="488"/>
      <c r="C13" s="612"/>
      <c r="D13" s="612"/>
      <c r="E13" s="612"/>
      <c r="F13" s="612"/>
      <c r="G13" s="612"/>
      <c r="H13" s="619"/>
      <c r="I13" s="620"/>
      <c r="J13" s="596"/>
      <c r="K13" s="597"/>
      <c r="L13" s="596"/>
      <c r="M13" s="597"/>
      <c r="N13" s="596"/>
      <c r="O13" s="597"/>
      <c r="P13" s="596"/>
      <c r="Q13" s="597"/>
      <c r="R13" s="609">
        <f t="shared" si="0"/>
        <v>0</v>
      </c>
      <c r="S13" s="610"/>
      <c r="T13" s="15"/>
    </row>
    <row r="14" spans="1:21" ht="13.5" thickBot="1" x14ac:dyDescent="0.25">
      <c r="A14" s="4">
        <v>8</v>
      </c>
      <c r="B14" s="617"/>
      <c r="C14" s="618"/>
      <c r="D14" s="618"/>
      <c r="E14" s="618"/>
      <c r="F14" s="618"/>
      <c r="G14" s="618"/>
      <c r="H14" s="619"/>
      <c r="I14" s="620"/>
      <c r="J14" s="627"/>
      <c r="K14" s="628"/>
      <c r="L14" s="627"/>
      <c r="M14" s="628"/>
      <c r="N14" s="627"/>
      <c r="O14" s="628"/>
      <c r="P14" s="627"/>
      <c r="Q14" s="628"/>
      <c r="R14" s="637">
        <f t="shared" si="0"/>
        <v>0</v>
      </c>
      <c r="S14" s="638"/>
      <c r="T14" s="189"/>
    </row>
    <row r="15" spans="1:21" ht="13.5" thickBot="1" x14ac:dyDescent="0.25">
      <c r="F15" s="513" t="s">
        <v>15</v>
      </c>
      <c r="G15" s="513"/>
      <c r="H15" s="631">
        <f>SUM(H7:I14)</f>
        <v>0</v>
      </c>
      <c r="I15" s="632"/>
      <c r="J15" s="631">
        <f>SUM(J7:K14)</f>
        <v>0</v>
      </c>
      <c r="K15" s="632"/>
      <c r="L15" s="631">
        <f>SUM(L7:M14)</f>
        <v>0</v>
      </c>
      <c r="M15" s="632"/>
      <c r="N15" s="631">
        <f>SUM(N7:O14)</f>
        <v>0</v>
      </c>
      <c r="O15" s="632"/>
      <c r="P15" s="631">
        <f>SUM(P7:Q14)</f>
        <v>0</v>
      </c>
      <c r="Q15" s="632"/>
      <c r="R15" s="639">
        <f>SUM(R7:S14)</f>
        <v>0</v>
      </c>
      <c r="S15" s="640"/>
    </row>
    <row r="17" spans="1:20" x14ac:dyDescent="0.2">
      <c r="B17" s="516" t="s">
        <v>13</v>
      </c>
      <c r="C17" s="516"/>
      <c r="D17" s="516"/>
    </row>
    <row r="18" spans="1:20" ht="26.25" thickBot="1" x14ac:dyDescent="0.25">
      <c r="B18" s="4"/>
      <c r="C18" s="4"/>
      <c r="D18" s="4"/>
      <c r="H18" s="580" t="s">
        <v>32</v>
      </c>
      <c r="I18" s="580"/>
      <c r="J18" s="580" t="s">
        <v>33</v>
      </c>
      <c r="K18" s="580"/>
      <c r="L18" s="580" t="s">
        <v>34</v>
      </c>
      <c r="M18" s="580"/>
      <c r="N18" s="580" t="s">
        <v>35</v>
      </c>
      <c r="O18" s="580"/>
      <c r="P18" s="580" t="s">
        <v>36</v>
      </c>
      <c r="Q18" s="580"/>
      <c r="R18" s="580" t="s">
        <v>37</v>
      </c>
      <c r="S18" s="580"/>
      <c r="T18" s="2" t="s">
        <v>240</v>
      </c>
    </row>
    <row r="19" spans="1:20" x14ac:dyDescent="0.2">
      <c r="A19" s="4">
        <v>1</v>
      </c>
      <c r="B19" s="621" t="s">
        <v>504</v>
      </c>
      <c r="C19" s="622"/>
      <c r="D19" s="622"/>
      <c r="E19" s="622"/>
      <c r="F19" s="622"/>
      <c r="G19" s="622"/>
      <c r="H19" s="615"/>
      <c r="I19" s="616"/>
      <c r="J19" s="615"/>
      <c r="K19" s="616"/>
      <c r="L19" s="615"/>
      <c r="M19" s="616"/>
      <c r="N19" s="615"/>
      <c r="O19" s="616"/>
      <c r="P19" s="615"/>
      <c r="Q19" s="616"/>
      <c r="R19" s="635">
        <f>SUM(H19:Q19)</f>
        <v>0</v>
      </c>
      <c r="S19" s="636"/>
      <c r="T19" s="190"/>
    </row>
    <row r="20" spans="1:20" ht="13.5" thickBot="1" x14ac:dyDescent="0.25">
      <c r="A20" s="4">
        <v>2</v>
      </c>
      <c r="B20" s="567" t="s">
        <v>14</v>
      </c>
      <c r="C20" s="522"/>
      <c r="D20" s="522"/>
      <c r="E20" s="522"/>
      <c r="F20" s="522"/>
      <c r="G20" s="522"/>
      <c r="H20" s="627"/>
      <c r="I20" s="628"/>
      <c r="J20" s="627"/>
      <c r="K20" s="628"/>
      <c r="L20" s="627"/>
      <c r="M20" s="628"/>
      <c r="N20" s="627"/>
      <c r="O20" s="628"/>
      <c r="P20" s="627"/>
      <c r="Q20" s="628"/>
      <c r="R20" s="637">
        <f>SUM(H20:Q20)</f>
        <v>0</v>
      </c>
      <c r="S20" s="638"/>
      <c r="T20" s="188"/>
    </row>
    <row r="21" spans="1:20" ht="13.5" thickBot="1" x14ac:dyDescent="0.25">
      <c r="F21" s="513" t="s">
        <v>16</v>
      </c>
      <c r="G21" s="513"/>
      <c r="H21" s="598">
        <f>SUM(H19:I20)</f>
        <v>0</v>
      </c>
      <c r="I21" s="599"/>
      <c r="J21" s="598">
        <f>SUM(J19:K20)</f>
        <v>0</v>
      </c>
      <c r="K21" s="599"/>
      <c r="L21" s="598">
        <f>SUM(L19:M20)</f>
        <v>0</v>
      </c>
      <c r="M21" s="599"/>
      <c r="N21" s="598">
        <f>SUM(N19:O20)</f>
        <v>0</v>
      </c>
      <c r="O21" s="599"/>
      <c r="P21" s="598">
        <f>SUM(P19:Q20)</f>
        <v>0</v>
      </c>
      <c r="Q21" s="599"/>
      <c r="R21" s="598">
        <f>SUM(R19:S20)</f>
        <v>0</v>
      </c>
      <c r="S21" s="599"/>
      <c r="T21" s="192"/>
    </row>
    <row r="23" spans="1:20" x14ac:dyDescent="0.2">
      <c r="B23" s="516" t="s">
        <v>17</v>
      </c>
      <c r="C23" s="516"/>
      <c r="D23" s="516"/>
      <c r="E23" s="516"/>
    </row>
    <row r="24" spans="1:20" ht="26.25" thickBot="1" x14ac:dyDescent="0.25">
      <c r="B24" s="60"/>
      <c r="C24" s="60"/>
      <c r="D24" s="60"/>
      <c r="E24" s="60"/>
      <c r="F24" s="60"/>
      <c r="G24" s="60"/>
      <c r="H24" s="626" t="s">
        <v>32</v>
      </c>
      <c r="I24" s="626"/>
      <c r="J24" s="626" t="s">
        <v>33</v>
      </c>
      <c r="K24" s="626"/>
      <c r="L24" s="626" t="s">
        <v>34</v>
      </c>
      <c r="M24" s="626"/>
      <c r="N24" s="626" t="s">
        <v>35</v>
      </c>
      <c r="O24" s="626"/>
      <c r="P24" s="626" t="s">
        <v>36</v>
      </c>
      <c r="Q24" s="626"/>
      <c r="R24" s="626" t="s">
        <v>37</v>
      </c>
      <c r="S24" s="626"/>
      <c r="T24" s="2" t="s">
        <v>240</v>
      </c>
    </row>
    <row r="25" spans="1:20" x14ac:dyDescent="0.2">
      <c r="A25" s="25">
        <v>1</v>
      </c>
      <c r="B25" s="629" t="s">
        <v>24</v>
      </c>
      <c r="C25" s="630"/>
      <c r="D25" s="630"/>
      <c r="E25" s="630"/>
      <c r="F25" s="630"/>
      <c r="G25" s="630"/>
      <c r="H25" s="623"/>
      <c r="I25" s="624"/>
      <c r="J25" s="623"/>
      <c r="K25" s="624"/>
      <c r="L25" s="623"/>
      <c r="M25" s="624"/>
      <c r="N25" s="623"/>
      <c r="O25" s="624"/>
      <c r="P25" s="623"/>
      <c r="Q25" s="624"/>
      <c r="R25" s="633">
        <f>SUM(H25:Q25)</f>
        <v>0</v>
      </c>
      <c r="S25" s="634"/>
      <c r="T25" s="190"/>
    </row>
    <row r="26" spans="1:20" x14ac:dyDescent="0.2">
      <c r="A26" s="25">
        <v>2</v>
      </c>
      <c r="B26" s="511" t="s">
        <v>25</v>
      </c>
      <c r="C26" s="500"/>
      <c r="D26" s="500"/>
      <c r="E26" s="500"/>
      <c r="F26" s="500"/>
      <c r="G26" s="500"/>
      <c r="H26" s="596"/>
      <c r="I26" s="597"/>
      <c r="J26" s="596"/>
      <c r="K26" s="597"/>
      <c r="L26" s="596"/>
      <c r="M26" s="597"/>
      <c r="N26" s="596"/>
      <c r="O26" s="597"/>
      <c r="P26" s="596"/>
      <c r="Q26" s="597"/>
      <c r="R26" s="609">
        <f>SUM(H26:Q26)</f>
        <v>0</v>
      </c>
      <c r="S26" s="610"/>
      <c r="T26" s="15"/>
    </row>
    <row r="27" spans="1:20" x14ac:dyDescent="0.2">
      <c r="A27" s="25">
        <v>3</v>
      </c>
      <c r="B27" s="511" t="s">
        <v>26</v>
      </c>
      <c r="C27" s="500"/>
      <c r="D27" s="500"/>
      <c r="E27" s="500"/>
      <c r="F27" s="500"/>
      <c r="G27" s="500"/>
      <c r="H27" s="596"/>
      <c r="I27" s="597"/>
      <c r="J27" s="596"/>
      <c r="K27" s="597"/>
      <c r="L27" s="596"/>
      <c r="M27" s="597"/>
      <c r="N27" s="596"/>
      <c r="O27" s="597"/>
      <c r="P27" s="596"/>
      <c r="Q27" s="597"/>
      <c r="R27" s="609">
        <f>SUM(H27:Q27)</f>
        <v>0</v>
      </c>
      <c r="S27" s="610"/>
      <c r="T27" s="15"/>
    </row>
    <row r="28" spans="1:20" ht="13.5" thickBot="1" x14ac:dyDescent="0.25">
      <c r="A28" s="25">
        <v>4</v>
      </c>
      <c r="B28" s="496" t="s">
        <v>27</v>
      </c>
      <c r="C28" s="625"/>
      <c r="D28" s="625"/>
      <c r="E28" s="625"/>
      <c r="F28" s="625"/>
      <c r="G28" s="497"/>
      <c r="H28" s="596"/>
      <c r="I28" s="597"/>
      <c r="J28" s="596"/>
      <c r="K28" s="597"/>
      <c r="L28" s="596"/>
      <c r="M28" s="597"/>
      <c r="N28" s="596"/>
      <c r="O28" s="597"/>
      <c r="P28" s="596"/>
      <c r="Q28" s="597"/>
      <c r="R28" s="609">
        <f>SUM(H28:Q28)</f>
        <v>0</v>
      </c>
      <c r="S28" s="610"/>
      <c r="T28" s="189"/>
    </row>
    <row r="29" spans="1:20" ht="13.5" thickBot="1" x14ac:dyDescent="0.25">
      <c r="B29" s="7"/>
      <c r="C29" s="563" t="s">
        <v>456</v>
      </c>
      <c r="D29" s="540"/>
      <c r="E29" s="540"/>
      <c r="F29" s="543" t="s">
        <v>55</v>
      </c>
      <c r="G29" s="544"/>
      <c r="H29" s="598">
        <f>SUM(H25:I28)</f>
        <v>0</v>
      </c>
      <c r="I29" s="599"/>
      <c r="J29" s="598">
        <f>SUM(J25:K28)</f>
        <v>0</v>
      </c>
      <c r="K29" s="599"/>
      <c r="L29" s="598">
        <f>SUM(L25:M28)</f>
        <v>0</v>
      </c>
      <c r="M29" s="599"/>
      <c r="N29" s="598">
        <f>SUM(N25:O28)</f>
        <v>0</v>
      </c>
      <c r="O29" s="599"/>
      <c r="P29" s="598">
        <f>SUM(P25:Q28)</f>
        <v>0</v>
      </c>
      <c r="Q29" s="599"/>
      <c r="R29" s="598">
        <f>SUM(R25:S28)</f>
        <v>0</v>
      </c>
      <c r="S29" s="599"/>
    </row>
    <row r="30" spans="1:20" x14ac:dyDescent="0.2">
      <c r="S30" s="18"/>
    </row>
    <row r="32" spans="1:20" x14ac:dyDescent="0.2">
      <c r="B32" s="516" t="s">
        <v>19</v>
      </c>
      <c r="C32" s="516"/>
      <c r="D32" s="516"/>
      <c r="E32" s="516"/>
    </row>
    <row r="33" spans="1:20" ht="26.25" thickBot="1" x14ac:dyDescent="0.25">
      <c r="A33" s="4"/>
      <c r="H33" s="580" t="s">
        <v>32</v>
      </c>
      <c r="I33" s="580"/>
      <c r="J33" s="580" t="s">
        <v>33</v>
      </c>
      <c r="K33" s="580"/>
      <c r="L33" s="580" t="s">
        <v>34</v>
      </c>
      <c r="M33" s="580"/>
      <c r="N33" s="580" t="s">
        <v>35</v>
      </c>
      <c r="O33" s="580"/>
      <c r="P33" s="580" t="s">
        <v>36</v>
      </c>
      <c r="Q33" s="580"/>
      <c r="R33" s="580" t="s">
        <v>37</v>
      </c>
      <c r="S33" s="580"/>
      <c r="T33" s="2" t="s">
        <v>240</v>
      </c>
    </row>
    <row r="34" spans="1:20" x14ac:dyDescent="0.2">
      <c r="A34" s="4">
        <v>1</v>
      </c>
      <c r="B34" s="671" t="s">
        <v>20</v>
      </c>
      <c r="C34" s="548"/>
      <c r="D34" s="548"/>
      <c r="E34" s="548"/>
      <c r="F34" s="548"/>
      <c r="G34" s="548"/>
      <c r="H34" s="615"/>
      <c r="I34" s="616"/>
      <c r="J34" s="615"/>
      <c r="K34" s="616"/>
      <c r="L34" s="615"/>
      <c r="M34" s="616"/>
      <c r="N34" s="615"/>
      <c r="O34" s="616"/>
      <c r="P34" s="615"/>
      <c r="Q34" s="616"/>
      <c r="R34" s="635">
        <f>SUM(H34:Q34)</f>
        <v>0</v>
      </c>
      <c r="S34" s="636"/>
      <c r="T34" s="190"/>
    </row>
    <row r="35" spans="1:20" x14ac:dyDescent="0.2">
      <c r="A35" s="4">
        <v>2</v>
      </c>
      <c r="B35" s="511" t="s">
        <v>21</v>
      </c>
      <c r="C35" s="500"/>
      <c r="D35" s="500"/>
      <c r="E35" s="500"/>
      <c r="F35" s="500"/>
      <c r="G35" s="500"/>
      <c r="H35" s="596"/>
      <c r="I35" s="597"/>
      <c r="J35" s="596"/>
      <c r="K35" s="597"/>
      <c r="L35" s="596"/>
      <c r="M35" s="597"/>
      <c r="N35" s="596"/>
      <c r="O35" s="597"/>
      <c r="P35" s="596"/>
      <c r="Q35" s="597"/>
      <c r="R35" s="609">
        <f>SUM(H35:Q35)</f>
        <v>0</v>
      </c>
      <c r="S35" s="610"/>
      <c r="T35" s="15"/>
    </row>
    <row r="36" spans="1:20" x14ac:dyDescent="0.2">
      <c r="A36" s="4">
        <v>3</v>
      </c>
      <c r="B36" s="511" t="s">
        <v>22</v>
      </c>
      <c r="C36" s="500"/>
      <c r="D36" s="500"/>
      <c r="E36" s="500"/>
      <c r="F36" s="500"/>
      <c r="G36" s="500"/>
      <c r="H36" s="596"/>
      <c r="I36" s="597"/>
      <c r="J36" s="596"/>
      <c r="K36" s="597"/>
      <c r="L36" s="596"/>
      <c r="M36" s="597"/>
      <c r="N36" s="596"/>
      <c r="O36" s="597"/>
      <c r="P36" s="596"/>
      <c r="Q36" s="597"/>
      <c r="R36" s="609">
        <f t="shared" ref="R36:R46" si="1">SUM(H36:Q36)</f>
        <v>0</v>
      </c>
      <c r="S36" s="610"/>
      <c r="T36" s="15"/>
    </row>
    <row r="37" spans="1:20" x14ac:dyDescent="0.2">
      <c r="A37" s="4">
        <v>4</v>
      </c>
      <c r="B37" s="511" t="s">
        <v>198</v>
      </c>
      <c r="C37" s="500"/>
      <c r="D37" s="500"/>
      <c r="E37" s="500"/>
      <c r="F37" s="500"/>
      <c r="G37" s="500"/>
      <c r="H37" s="596"/>
      <c r="I37" s="597"/>
      <c r="J37" s="596"/>
      <c r="K37" s="597"/>
      <c r="L37" s="596"/>
      <c r="M37" s="597"/>
      <c r="N37" s="596"/>
      <c r="O37" s="597"/>
      <c r="P37" s="596"/>
      <c r="Q37" s="597"/>
      <c r="R37" s="609">
        <f t="shared" si="1"/>
        <v>0</v>
      </c>
      <c r="S37" s="610"/>
      <c r="T37" s="15"/>
    </row>
    <row r="38" spans="1:20" x14ac:dyDescent="0.2">
      <c r="A38" s="4">
        <v>5</v>
      </c>
      <c r="B38" s="511" t="s">
        <v>204</v>
      </c>
      <c r="C38" s="500"/>
      <c r="D38" s="500"/>
      <c r="E38" s="500"/>
      <c r="F38" s="500"/>
      <c r="G38" s="500"/>
      <c r="H38" s="609">
        <f>SUM(H90,I90)</f>
        <v>0</v>
      </c>
      <c r="I38" s="610"/>
      <c r="J38" s="609">
        <f>SUM(J90,K90)</f>
        <v>0</v>
      </c>
      <c r="K38" s="610"/>
      <c r="L38" s="609">
        <f>SUM(L90,M90)</f>
        <v>0</v>
      </c>
      <c r="M38" s="610"/>
      <c r="N38" s="609">
        <f>SUM(N90,O90)</f>
        <v>0</v>
      </c>
      <c r="O38" s="610"/>
      <c r="P38" s="609">
        <f>SUM(P90,Q90)</f>
        <v>0</v>
      </c>
      <c r="Q38" s="610"/>
      <c r="R38" s="609">
        <f t="shared" si="1"/>
        <v>0</v>
      </c>
      <c r="S38" s="610"/>
      <c r="T38" s="15"/>
    </row>
    <row r="39" spans="1:20" x14ac:dyDescent="0.2">
      <c r="A39" s="4">
        <v>6</v>
      </c>
      <c r="B39" s="668" t="s">
        <v>393</v>
      </c>
      <c r="C39" s="500"/>
      <c r="D39" s="500"/>
      <c r="E39" s="500"/>
      <c r="F39" s="500"/>
      <c r="G39" s="500"/>
      <c r="H39" s="596"/>
      <c r="I39" s="597"/>
      <c r="J39" s="596"/>
      <c r="K39" s="597"/>
      <c r="L39" s="596"/>
      <c r="M39" s="597"/>
      <c r="N39" s="596"/>
      <c r="O39" s="597"/>
      <c r="P39" s="596"/>
      <c r="Q39" s="597"/>
      <c r="R39" s="609">
        <f t="shared" si="1"/>
        <v>0</v>
      </c>
      <c r="S39" s="610"/>
      <c r="T39" s="15"/>
    </row>
    <row r="40" spans="1:20" x14ac:dyDescent="0.2">
      <c r="A40" s="4">
        <v>7</v>
      </c>
      <c r="B40" s="511" t="s">
        <v>200</v>
      </c>
      <c r="C40" s="500"/>
      <c r="D40" s="500"/>
      <c r="E40" s="500"/>
      <c r="F40" s="500"/>
      <c r="G40" s="500"/>
      <c r="H40" s="596"/>
      <c r="I40" s="597"/>
      <c r="J40" s="596"/>
      <c r="K40" s="597"/>
      <c r="L40" s="596"/>
      <c r="M40" s="597"/>
      <c r="N40" s="596"/>
      <c r="O40" s="597"/>
      <c r="P40" s="596"/>
      <c r="Q40" s="597"/>
      <c r="R40" s="609">
        <f t="shared" si="1"/>
        <v>0</v>
      </c>
      <c r="S40" s="610"/>
      <c r="T40" s="15"/>
    </row>
    <row r="41" spans="1:20" x14ac:dyDescent="0.2">
      <c r="A41" s="4">
        <v>8</v>
      </c>
      <c r="B41" s="511" t="s">
        <v>416</v>
      </c>
      <c r="C41" s="500"/>
      <c r="D41" s="679" t="s">
        <v>101</v>
      </c>
      <c r="E41" s="679"/>
      <c r="F41" s="680" t="s">
        <v>520</v>
      </c>
      <c r="G41" s="681"/>
      <c r="H41" s="596"/>
      <c r="I41" s="597"/>
      <c r="J41" s="596"/>
      <c r="K41" s="597"/>
      <c r="L41" s="596"/>
      <c r="M41" s="597"/>
      <c r="N41" s="596"/>
      <c r="O41" s="597"/>
      <c r="P41" s="596"/>
      <c r="Q41" s="597"/>
      <c r="R41" s="609">
        <f t="shared" si="1"/>
        <v>0</v>
      </c>
      <c r="S41" s="610"/>
      <c r="T41" s="15"/>
    </row>
    <row r="42" spans="1:20" x14ac:dyDescent="0.2">
      <c r="A42" s="4">
        <v>9</v>
      </c>
      <c r="B42" s="676" t="s">
        <v>417</v>
      </c>
      <c r="C42" s="677"/>
      <c r="D42" s="677"/>
      <c r="E42" s="677"/>
      <c r="F42" s="677"/>
      <c r="G42" s="678"/>
      <c r="H42" s="596"/>
      <c r="I42" s="597"/>
      <c r="J42" s="596"/>
      <c r="K42" s="597"/>
      <c r="L42" s="596"/>
      <c r="M42" s="597"/>
      <c r="N42" s="596"/>
      <c r="O42" s="597"/>
      <c r="P42" s="596"/>
      <c r="Q42" s="597"/>
      <c r="R42" s="609">
        <f>SUM(H42:Q42)</f>
        <v>0</v>
      </c>
      <c r="S42" s="610"/>
      <c r="T42" s="268"/>
    </row>
    <row r="43" spans="1:20" x14ac:dyDescent="0.2">
      <c r="A43" s="4">
        <v>10</v>
      </c>
      <c r="B43" s="669" t="s">
        <v>418</v>
      </c>
      <c r="C43" s="670"/>
      <c r="D43" s="670"/>
      <c r="E43" s="670"/>
      <c r="F43" s="670"/>
      <c r="G43" s="670"/>
      <c r="H43" s="596"/>
      <c r="I43" s="597"/>
      <c r="J43" s="596"/>
      <c r="K43" s="597"/>
      <c r="L43" s="596"/>
      <c r="M43" s="597"/>
      <c r="N43" s="596"/>
      <c r="O43" s="597"/>
      <c r="P43" s="596"/>
      <c r="Q43" s="597"/>
      <c r="R43" s="633">
        <f t="shared" ref="R43" si="2">SUM(H43:Q43)</f>
        <v>0</v>
      </c>
      <c r="S43" s="634"/>
      <c r="T43" s="14"/>
    </row>
    <row r="44" spans="1:20" x14ac:dyDescent="0.2">
      <c r="A44" s="4">
        <v>11</v>
      </c>
      <c r="B44" s="505" t="s">
        <v>201</v>
      </c>
      <c r="C44" s="484"/>
      <c r="D44" s="484"/>
      <c r="E44" s="484"/>
      <c r="F44" s="484"/>
      <c r="G44" s="484"/>
      <c r="H44" s="596"/>
      <c r="I44" s="597"/>
      <c r="J44" s="596"/>
      <c r="K44" s="597"/>
      <c r="L44" s="596"/>
      <c r="M44" s="597"/>
      <c r="N44" s="596"/>
      <c r="O44" s="597"/>
      <c r="P44" s="596"/>
      <c r="Q44" s="597"/>
      <c r="R44" s="609">
        <f t="shared" ref="R44" si="3">SUM(H44:Q44)</f>
        <v>0</v>
      </c>
      <c r="S44" s="610"/>
      <c r="T44" s="15"/>
    </row>
    <row r="45" spans="1:20" x14ac:dyDescent="0.2">
      <c r="A45" s="4">
        <v>12</v>
      </c>
      <c r="B45" s="505" t="s">
        <v>201</v>
      </c>
      <c r="C45" s="484"/>
      <c r="D45" s="484"/>
      <c r="E45" s="484"/>
      <c r="F45" s="484"/>
      <c r="G45" s="484"/>
      <c r="H45" s="596"/>
      <c r="I45" s="597"/>
      <c r="J45" s="596"/>
      <c r="K45" s="597"/>
      <c r="L45" s="596"/>
      <c r="M45" s="597"/>
      <c r="N45" s="596"/>
      <c r="O45" s="597"/>
      <c r="P45" s="596"/>
      <c r="Q45" s="597"/>
      <c r="R45" s="609">
        <f>SUM(H45:Q45)</f>
        <v>0</v>
      </c>
      <c r="S45" s="610"/>
      <c r="T45" s="268"/>
    </row>
    <row r="46" spans="1:20" x14ac:dyDescent="0.2">
      <c r="A46" s="4">
        <v>13</v>
      </c>
      <c r="B46" s="669" t="s">
        <v>201</v>
      </c>
      <c r="C46" s="670"/>
      <c r="D46" s="670"/>
      <c r="E46" s="670"/>
      <c r="F46" s="670"/>
      <c r="G46" s="670"/>
      <c r="H46" s="596"/>
      <c r="I46" s="597"/>
      <c r="J46" s="596"/>
      <c r="K46" s="597"/>
      <c r="L46" s="596"/>
      <c r="M46" s="597"/>
      <c r="N46" s="596"/>
      <c r="O46" s="597"/>
      <c r="P46" s="596"/>
      <c r="Q46" s="597"/>
      <c r="R46" s="633">
        <f t="shared" si="1"/>
        <v>0</v>
      </c>
      <c r="S46" s="634"/>
      <c r="T46" s="14"/>
    </row>
    <row r="47" spans="1:20" ht="13.5" thickBot="1" x14ac:dyDescent="0.25">
      <c r="A47" s="4">
        <v>14</v>
      </c>
      <c r="B47" s="641" t="s">
        <v>201</v>
      </c>
      <c r="C47" s="551"/>
      <c r="D47" s="551"/>
      <c r="E47" s="551"/>
      <c r="F47" s="551"/>
      <c r="G47" s="551"/>
      <c r="H47" s="596"/>
      <c r="I47" s="597"/>
      <c r="J47" s="596"/>
      <c r="K47" s="597"/>
      <c r="L47" s="596"/>
      <c r="M47" s="597"/>
      <c r="N47" s="596"/>
      <c r="O47" s="597"/>
      <c r="P47" s="596"/>
      <c r="Q47" s="597"/>
      <c r="R47" s="637">
        <f>SUM(H47:Q47)</f>
        <v>0</v>
      </c>
      <c r="S47" s="638"/>
      <c r="T47" s="191"/>
    </row>
    <row r="48" spans="1:20" ht="13.5" thickBot="1" x14ac:dyDescent="0.25">
      <c r="E48" s="543" t="s">
        <v>28</v>
      </c>
      <c r="F48" s="543"/>
      <c r="G48" s="544"/>
      <c r="H48" s="598">
        <f>SUM(H34:I47)</f>
        <v>0</v>
      </c>
      <c r="I48" s="599"/>
      <c r="J48" s="598">
        <f>SUM(J34:K47)</f>
        <v>0</v>
      </c>
      <c r="K48" s="599"/>
      <c r="L48" s="598">
        <f>SUM(L34:M47)</f>
        <v>0</v>
      </c>
      <c r="M48" s="599"/>
      <c r="N48" s="598">
        <f>SUM(N34:O47)</f>
        <v>0</v>
      </c>
      <c r="O48" s="599"/>
      <c r="P48" s="598">
        <f>SUM(P34:Q47)</f>
        <v>0</v>
      </c>
      <c r="Q48" s="599"/>
      <c r="R48" s="598">
        <f>SUM(R34:S47)</f>
        <v>0</v>
      </c>
      <c r="S48" s="599"/>
    </row>
    <row r="50" spans="1:20" x14ac:dyDescent="0.2">
      <c r="B50" s="516" t="s">
        <v>29</v>
      </c>
      <c r="C50" s="516"/>
      <c r="D50" s="516"/>
      <c r="E50" s="516"/>
    </row>
    <row r="51" spans="1:20" ht="13.5" thickBot="1" x14ac:dyDescent="0.25">
      <c r="H51" s="580" t="s">
        <v>32</v>
      </c>
      <c r="I51" s="580"/>
      <c r="J51" s="580" t="s">
        <v>33</v>
      </c>
      <c r="K51" s="580"/>
      <c r="L51" s="580" t="s">
        <v>34</v>
      </c>
      <c r="M51" s="580"/>
      <c r="N51" s="580" t="s">
        <v>35</v>
      </c>
      <c r="O51" s="580"/>
      <c r="P51" s="580" t="s">
        <v>36</v>
      </c>
      <c r="Q51" s="580"/>
      <c r="R51" s="580" t="s">
        <v>37</v>
      </c>
      <c r="S51" s="580"/>
    </row>
    <row r="52" spans="1:20" ht="13.5" thickBot="1" x14ac:dyDescent="0.25">
      <c r="D52" s="513" t="s">
        <v>45</v>
      </c>
      <c r="E52" s="513"/>
      <c r="F52" s="513"/>
      <c r="G52" s="513"/>
      <c r="H52" s="598">
        <f>SUM('Personnel Yr 1'!O50,H15,H21,H29,H48)</f>
        <v>0</v>
      </c>
      <c r="I52" s="608"/>
      <c r="J52" s="598">
        <f>SUM('Personnel Yr 2'!O50,J15,J21,J29,J48)</f>
        <v>0</v>
      </c>
      <c r="K52" s="608"/>
      <c r="L52" s="598">
        <f>SUM('Personnel Yr 3'!O50,L15,L21,L29,L48)</f>
        <v>0</v>
      </c>
      <c r="M52" s="608"/>
      <c r="N52" s="598">
        <f>SUM('Personnel Yr 4'!O50,N15,N21,N29,N48)</f>
        <v>0</v>
      </c>
      <c r="O52" s="608"/>
      <c r="P52" s="598">
        <f>SUM('Personnel Yr 5'!O50,P15,P21,P29,P48)</f>
        <v>0</v>
      </c>
      <c r="Q52" s="608"/>
      <c r="R52" s="598">
        <f>SUM(H52:Q52)</f>
        <v>0</v>
      </c>
      <c r="S52" s="599"/>
    </row>
    <row r="54" spans="1:20" x14ac:dyDescent="0.2">
      <c r="B54" s="516" t="s">
        <v>107</v>
      </c>
      <c r="C54" s="516"/>
      <c r="D54" s="516"/>
      <c r="E54" s="516"/>
      <c r="F54" s="516"/>
      <c r="G54" s="516"/>
    </row>
    <row r="55" spans="1:20" x14ac:dyDescent="0.2">
      <c r="B55" s="4"/>
      <c r="C55" s="4"/>
      <c r="D55" s="516" t="s">
        <v>103</v>
      </c>
      <c r="E55" s="516"/>
      <c r="F55" s="516"/>
      <c r="G55" s="4"/>
    </row>
    <row r="56" spans="1:20" ht="26.25" thickBot="1" x14ac:dyDescent="0.25">
      <c r="A56" s="10" t="s">
        <v>47</v>
      </c>
      <c r="B56" s="231" t="s">
        <v>106</v>
      </c>
      <c r="C56" s="626" t="s">
        <v>104</v>
      </c>
      <c r="D56" s="626"/>
      <c r="E56" s="626"/>
      <c r="F56" s="580" t="s">
        <v>105</v>
      </c>
      <c r="G56" s="580"/>
      <c r="H56" s="580" t="s">
        <v>32</v>
      </c>
      <c r="I56" s="580"/>
      <c r="J56" s="580" t="s">
        <v>33</v>
      </c>
      <c r="K56" s="580"/>
      <c r="L56" s="580" t="s">
        <v>34</v>
      </c>
      <c r="M56" s="580"/>
      <c r="N56" s="580" t="s">
        <v>35</v>
      </c>
      <c r="O56" s="580"/>
      <c r="P56" s="580" t="s">
        <v>36</v>
      </c>
      <c r="Q56" s="580"/>
      <c r="R56" s="580" t="s">
        <v>37</v>
      </c>
      <c r="S56" s="580"/>
      <c r="T56" s="2" t="s">
        <v>240</v>
      </c>
    </row>
    <row r="57" spans="1:20" x14ac:dyDescent="0.2">
      <c r="A57" s="4">
        <v>1</v>
      </c>
      <c r="B57" s="269" t="s">
        <v>454</v>
      </c>
      <c r="C57" s="662" t="s">
        <v>517</v>
      </c>
      <c r="D57" s="663"/>
      <c r="E57" s="664"/>
      <c r="F57" s="658">
        <f>IF(B57="MTDC-NonFed",H52-H15-H42-H41-H40-H39-H38+H91,IF(B57="TDC",H52,IF(B57="SWFB",'Personnel Yr 1'!O50, IF(B57="MTDC-Fed",H52-H15-H42-H41-H40-H39-H38+H91-H29))))</f>
        <v>0</v>
      </c>
      <c r="G57" s="659"/>
      <c r="H57" s="660">
        <f>ROUND(F57*IFERROR(LOOKUP(C57,IDCDesc,IDCRate),C57),0)</f>
        <v>0</v>
      </c>
      <c r="I57" s="661"/>
      <c r="J57" s="600"/>
      <c r="K57" s="601"/>
      <c r="L57" s="600"/>
      <c r="M57" s="601"/>
      <c r="N57" s="600"/>
      <c r="O57" s="601"/>
      <c r="P57" s="600"/>
      <c r="Q57" s="601"/>
      <c r="R57" s="600"/>
      <c r="S57" s="601"/>
      <c r="T57" s="190"/>
    </row>
    <row r="58" spans="1:20" x14ac:dyDescent="0.2">
      <c r="A58" s="4">
        <v>2</v>
      </c>
      <c r="B58" s="262" t="str">
        <f>B57</f>
        <v>MTDC-Fed</v>
      </c>
      <c r="C58" s="652" t="s">
        <v>517</v>
      </c>
      <c r="D58" s="653"/>
      <c r="E58" s="654"/>
      <c r="F58" s="648" t="str">
        <f>IF(J52=0,"",IF(B58="MTDC-NonFed",J52-J15-J42-J41-J40-J39-J38+J91,IF(B58="TDC",J52,IF(B58="SWFB",'Personnel Yr 2'!O50, IF(B58="MTDC-Fed",J52-J15-J42-J41-J40-J39-J38+J91-J29)))))</f>
        <v/>
      </c>
      <c r="G58" s="649"/>
      <c r="H58" s="650"/>
      <c r="I58" s="651"/>
      <c r="J58" s="665">
        <f>IF(F58="",0,ROUND(F58*IFERROR(LOOKUP(C58,IDCDesc2,IDCRate2),C58),0))</f>
        <v>0</v>
      </c>
      <c r="K58" s="649"/>
      <c r="L58" s="602"/>
      <c r="M58" s="603"/>
      <c r="N58" s="602"/>
      <c r="O58" s="603"/>
      <c r="P58" s="602"/>
      <c r="Q58" s="603"/>
      <c r="R58" s="602"/>
      <c r="S58" s="603"/>
      <c r="T58" s="15"/>
    </row>
    <row r="59" spans="1:20" x14ac:dyDescent="0.2">
      <c r="A59" s="4">
        <v>3</v>
      </c>
      <c r="B59" s="262" t="str">
        <f>B57</f>
        <v>MTDC-Fed</v>
      </c>
      <c r="C59" s="652" t="s">
        <v>517</v>
      </c>
      <c r="D59" s="653"/>
      <c r="E59" s="654"/>
      <c r="F59" s="648" t="str">
        <f>IF(L52=0,"",IF(B59="MTDC-NonFed",L52-L15-L42-L41-L40-L39-L38+L91,IF(B59="TDC",L52,IF(B59="SWFB",'Personnel Yr 3'!O50, IF(B59="MTDC-Fed",L52-L15-L42-L41-L40-L39-L38+L91-L29)))))</f>
        <v/>
      </c>
      <c r="G59" s="649"/>
      <c r="H59" s="650"/>
      <c r="I59" s="651"/>
      <c r="J59" s="602"/>
      <c r="K59" s="603"/>
      <c r="L59" s="665">
        <f>IF(F59="",0,ROUND(F59*IFERROR(LOOKUP(C59,IDCDesc2,IDCRate2),C59),0))</f>
        <v>0</v>
      </c>
      <c r="M59" s="649"/>
      <c r="N59" s="602"/>
      <c r="O59" s="603"/>
      <c r="P59" s="602"/>
      <c r="Q59" s="603"/>
      <c r="R59" s="602"/>
      <c r="S59" s="603"/>
      <c r="T59" s="15"/>
    </row>
    <row r="60" spans="1:20" x14ac:dyDescent="0.2">
      <c r="A60" s="25">
        <v>4</v>
      </c>
      <c r="B60" s="262" t="str">
        <f>B57</f>
        <v>MTDC-Fed</v>
      </c>
      <c r="C60" s="652" t="s">
        <v>517</v>
      </c>
      <c r="D60" s="653"/>
      <c r="E60" s="654"/>
      <c r="F60" s="648" t="str">
        <f>IF(N52=0,"",IF(B60="MTDC-NonFed",N52-N15-N42-N41-N40-N39-N38+N91,IF(B60="TDC",N52,IF(B60="SWFB",'Personnel Yr 4'!O48, IF(B60="MTDC-Fed",N52-N15-N42-N41-N40-N39-N38+N91-N29)))))</f>
        <v/>
      </c>
      <c r="G60" s="649"/>
      <c r="H60" s="650"/>
      <c r="I60" s="651"/>
      <c r="J60" s="602"/>
      <c r="K60" s="603"/>
      <c r="L60" s="602"/>
      <c r="M60" s="603"/>
      <c r="N60" s="606">
        <f>IF(F60="",0,ROUND(F60*IFERROR(LOOKUP(C60,IDCDesc2,IDCRate2),C60),0))</f>
        <v>0</v>
      </c>
      <c r="O60" s="607"/>
      <c r="P60" s="602"/>
      <c r="Q60" s="603"/>
      <c r="R60" s="602"/>
      <c r="S60" s="603"/>
      <c r="T60" s="15"/>
    </row>
    <row r="61" spans="1:20" ht="13.5" thickBot="1" x14ac:dyDescent="0.25">
      <c r="A61" s="4">
        <v>5</v>
      </c>
      <c r="B61" s="267" t="str">
        <f>B57</f>
        <v>MTDC-Fed</v>
      </c>
      <c r="C61" s="655" t="s">
        <v>517</v>
      </c>
      <c r="D61" s="656"/>
      <c r="E61" s="657"/>
      <c r="F61" s="644" t="str">
        <f>IF(P52=0,"",IF(B61="MTDC-NonFed",P52-P15-P42-P41-P40-P39-P38+P91,IF(B61="TDC",P52,IF(B61="SWFB",'Personnel Yr 5'!O48, IF(B61="MTDC-Fed",P52-P15-P42-P41-P40-P39-P38+P91-P29)))))</f>
        <v/>
      </c>
      <c r="G61" s="645"/>
      <c r="H61" s="646"/>
      <c r="I61" s="647"/>
      <c r="J61" s="604"/>
      <c r="K61" s="605"/>
      <c r="L61" s="604"/>
      <c r="M61" s="605"/>
      <c r="N61" s="604"/>
      <c r="O61" s="605"/>
      <c r="P61" s="666">
        <f>IF(F61="",0,ROUND(F61*IFERROR(LOOKUP(C61,IDCDesc2,IDCRate2),C61),0))</f>
        <v>0</v>
      </c>
      <c r="Q61" s="667"/>
      <c r="R61" s="646"/>
      <c r="S61" s="605"/>
      <c r="T61" s="189"/>
    </row>
    <row r="62" spans="1:20" ht="13.5" thickBot="1" x14ac:dyDescent="0.25">
      <c r="F62" s="543" t="s">
        <v>30</v>
      </c>
      <c r="G62" s="543"/>
      <c r="H62" s="642">
        <f>SUM(H57:I61)</f>
        <v>0</v>
      </c>
      <c r="I62" s="643"/>
      <c r="J62" s="642">
        <f>SUM(J57:K61)</f>
        <v>0</v>
      </c>
      <c r="K62" s="643"/>
      <c r="L62" s="642">
        <f>SUM(L57:M61)</f>
        <v>0</v>
      </c>
      <c r="M62" s="643"/>
      <c r="N62" s="642">
        <f>SUM(N57:O61)</f>
        <v>0</v>
      </c>
      <c r="O62" s="643"/>
      <c r="P62" s="642">
        <f>SUM(P57:Q61)</f>
        <v>0</v>
      </c>
      <c r="Q62" s="643"/>
      <c r="R62" s="642">
        <f>SUM(H62:Q62)</f>
        <v>0</v>
      </c>
      <c r="S62" s="643"/>
    </row>
    <row r="64" spans="1:20" x14ac:dyDescent="0.2">
      <c r="B64" s="516" t="s">
        <v>108</v>
      </c>
      <c r="C64" s="516"/>
      <c r="D64" s="516"/>
      <c r="E64" s="516"/>
    </row>
    <row r="65" spans="1:20" ht="13.5" thickBot="1" x14ac:dyDescent="0.25">
      <c r="B65" s="4"/>
      <c r="C65" s="4"/>
      <c r="D65" s="4"/>
      <c r="E65" s="4"/>
      <c r="H65" s="580" t="s">
        <v>32</v>
      </c>
      <c r="I65" s="580"/>
      <c r="J65" s="580" t="s">
        <v>33</v>
      </c>
      <c r="K65" s="580"/>
      <c r="L65" s="580" t="s">
        <v>34</v>
      </c>
      <c r="M65" s="580"/>
      <c r="N65" s="580" t="s">
        <v>35</v>
      </c>
      <c r="O65" s="580"/>
      <c r="P65" s="580" t="s">
        <v>36</v>
      </c>
      <c r="Q65" s="580"/>
      <c r="R65" s="580" t="s">
        <v>37</v>
      </c>
      <c r="S65" s="580"/>
    </row>
    <row r="66" spans="1:20" ht="13.5" thickBot="1" x14ac:dyDescent="0.25">
      <c r="C66" s="513" t="s">
        <v>109</v>
      </c>
      <c r="D66" s="513"/>
      <c r="E66" s="513"/>
      <c r="F66" s="513"/>
      <c r="G66" s="513"/>
      <c r="H66" s="598">
        <f>SUM(H52,H62)</f>
        <v>0</v>
      </c>
      <c r="I66" s="599"/>
      <c r="J66" s="598">
        <f>SUM(J52,J62)</f>
        <v>0</v>
      </c>
      <c r="K66" s="599"/>
      <c r="L66" s="598">
        <f>SUM(L52,L62)</f>
        <v>0</v>
      </c>
      <c r="M66" s="599"/>
      <c r="N66" s="598">
        <f>SUM(N52,N62)</f>
        <v>0</v>
      </c>
      <c r="O66" s="599"/>
      <c r="P66" s="598">
        <f>SUM(P52,P62)</f>
        <v>0</v>
      </c>
      <c r="Q66" s="599"/>
      <c r="R66" s="598">
        <f>SUM(H66:Q66)</f>
        <v>0</v>
      </c>
      <c r="S66" s="599"/>
    </row>
    <row r="68" spans="1:20" ht="25.5" x14ac:dyDescent="0.2">
      <c r="B68" s="580" t="s">
        <v>23</v>
      </c>
      <c r="C68" s="580"/>
      <c r="D68" s="580"/>
      <c r="E68" s="580"/>
      <c r="F68" s="580"/>
      <c r="G68" s="580"/>
      <c r="H68" s="580" t="s">
        <v>32</v>
      </c>
      <c r="I68" s="580"/>
      <c r="J68" s="580" t="s">
        <v>33</v>
      </c>
      <c r="K68" s="580"/>
      <c r="L68" s="580" t="s">
        <v>34</v>
      </c>
      <c r="M68" s="580"/>
      <c r="N68" s="580" t="s">
        <v>35</v>
      </c>
      <c r="O68" s="580"/>
      <c r="P68" s="580" t="s">
        <v>36</v>
      </c>
      <c r="Q68" s="580"/>
      <c r="R68" s="580" t="s">
        <v>37</v>
      </c>
      <c r="S68" s="580"/>
      <c r="T68" s="2" t="s">
        <v>240</v>
      </c>
    </row>
    <row r="69" spans="1:20" ht="13.5" thickBot="1" x14ac:dyDescent="0.25">
      <c r="B69" s="331"/>
      <c r="C69" s="331"/>
      <c r="D69" s="331"/>
      <c r="E69" s="331"/>
      <c r="F69" s="331"/>
      <c r="G69" s="331"/>
      <c r="H69" s="10" t="s">
        <v>438</v>
      </c>
      <c r="I69" s="10" t="s">
        <v>439</v>
      </c>
      <c r="J69" s="10" t="s">
        <v>438</v>
      </c>
      <c r="K69" s="10" t="s">
        <v>439</v>
      </c>
      <c r="L69" s="10" t="s">
        <v>438</v>
      </c>
      <c r="M69" s="10" t="s">
        <v>439</v>
      </c>
      <c r="N69" s="10" t="s">
        <v>438</v>
      </c>
      <c r="O69" s="10" t="s">
        <v>439</v>
      </c>
      <c r="P69" s="10" t="s">
        <v>438</v>
      </c>
      <c r="Q69" s="10" t="s">
        <v>439</v>
      </c>
      <c r="R69" s="10" t="s">
        <v>438</v>
      </c>
      <c r="S69" s="10" t="s">
        <v>439</v>
      </c>
      <c r="T69" s="2"/>
    </row>
    <row r="70" spans="1:20" ht="12.75" customHeight="1" thickBot="1" x14ac:dyDescent="0.25">
      <c r="A70" s="4">
        <v>1</v>
      </c>
      <c r="B70" s="572"/>
      <c r="C70" s="573"/>
      <c r="D70" s="573"/>
      <c r="E70" s="573"/>
      <c r="F70" s="573"/>
      <c r="G70" s="574"/>
      <c r="H70" s="383"/>
      <c r="I70" s="384"/>
      <c r="J70" s="291"/>
      <c r="K70" s="290"/>
      <c r="L70" s="291"/>
      <c r="M70" s="290"/>
      <c r="N70" s="291"/>
      <c r="O70" s="290"/>
      <c r="P70" s="291"/>
      <c r="Q70" s="290"/>
      <c r="R70" s="295">
        <f>SUM(P70,N70,L70,J70,H70)</f>
        <v>0</v>
      </c>
      <c r="S70" s="296">
        <f>SUM(Q70,O70,M70,K70,I70)</f>
        <v>0</v>
      </c>
      <c r="T70" s="190"/>
    </row>
    <row r="71" spans="1:20" ht="55.5" hidden="1" customHeight="1" thickBot="1" x14ac:dyDescent="0.25">
      <c r="A71" s="4"/>
      <c r="B71" s="569"/>
      <c r="C71" s="570"/>
      <c r="D71" s="570"/>
      <c r="E71" s="570"/>
      <c r="F71" s="570"/>
      <c r="G71" s="571"/>
      <c r="H71" s="674">
        <f>IF(SUM(H70,I70)&gt;25000,25000,SUM(H70,I70))</f>
        <v>0</v>
      </c>
      <c r="I71" s="675">
        <f>IF(I70&gt;25000,25000,I70)</f>
        <v>0</v>
      </c>
      <c r="J71" s="594">
        <f>IF(SUM(H70:K70)&gt;=25000,IF(SUM(H70,I70)&gt;=25000, 0, 25000-SUM(H70,I70)),SUM(J70,K70))</f>
        <v>0</v>
      </c>
      <c r="K71" s="595">
        <f>IF(SUM(J70:K70)&gt;=25000,IF(SUM(J70)&gt;=25000, 0, 25000-SUM(J70)),K70)</f>
        <v>0</v>
      </c>
      <c r="L71" s="594">
        <f>IF(SUM(H70:M70)&gt;=25000,IF(SUM(H70:K70)&gt;=25000, 0, 25000-SUM(H70:K70)),SUM(L70,M70))</f>
        <v>0</v>
      </c>
      <c r="M71" s="595">
        <f>IF(SUM(K70:M70)&gt;=25000,IF(SUM(K70:L70)&gt;=25000, 0, 25000-SUM(K70:L70)),M70)</f>
        <v>0</v>
      </c>
      <c r="N71" s="594">
        <f>IF(SUM(H70:O70)&gt;=25000,IF(SUM(H70:M70)&gt;=25000, 0, 25000-SUM(H70:M70)),SUM(N70,O70))</f>
        <v>0</v>
      </c>
      <c r="O71" s="595">
        <f>IF(SUM(L70:O70)&gt;=25000,IF(SUM(L70:N70)&gt;=25000, 0, 25000-SUM(L70:N70)),O70)</f>
        <v>0</v>
      </c>
      <c r="P71" s="594">
        <f>IF(SUM(H70:Q70)&gt;=25000,IF(SUM(H70:O70)&gt;=25000, 0, 25000-SUM(H70:O70)),SUM(P70,Q70))</f>
        <v>0</v>
      </c>
      <c r="Q71" s="595">
        <f>IF(SUM(M70:Q70)&gt;=25000,IF(SUM(M70:P70)&gt;=25000, 0, 25000-SUM(M70:P70)),Q70)</f>
        <v>0</v>
      </c>
      <c r="R71" s="592">
        <f t="shared" ref="R71" si="4">SUM(H71:Q71)</f>
        <v>0</v>
      </c>
      <c r="S71" s="593"/>
      <c r="T71" s="15"/>
    </row>
    <row r="72" spans="1:20" ht="12.75" customHeight="1" thickBot="1" x14ac:dyDescent="0.25">
      <c r="A72" s="4">
        <v>2</v>
      </c>
      <c r="B72" s="486"/>
      <c r="C72" s="568"/>
      <c r="D72" s="568"/>
      <c r="E72" s="568"/>
      <c r="F72" s="568"/>
      <c r="G72" s="487"/>
      <c r="H72" s="387"/>
      <c r="I72" s="388"/>
      <c r="J72" s="293"/>
      <c r="K72" s="292"/>
      <c r="L72" s="293"/>
      <c r="M72" s="292"/>
      <c r="N72" s="293"/>
      <c r="O72" s="292"/>
      <c r="P72" s="293"/>
      <c r="Q72" s="292"/>
      <c r="R72" s="295">
        <f>SUM(P72,N72,L72,J72,H72)</f>
        <v>0</v>
      </c>
      <c r="S72" s="296">
        <f>SUM(Q72,O72,M72,K72,I72)</f>
        <v>0</v>
      </c>
      <c r="T72" s="15"/>
    </row>
    <row r="73" spans="1:20" ht="12.75" hidden="1" customHeight="1" thickBot="1" x14ac:dyDescent="0.25">
      <c r="A73" s="4"/>
      <c r="B73" s="577"/>
      <c r="C73" s="578"/>
      <c r="D73" s="578"/>
      <c r="E73" s="578"/>
      <c r="F73" s="578"/>
      <c r="G73" s="579"/>
      <c r="H73" s="575">
        <f>IF(SUM(H72,I72)&gt;25000,25000,SUM(H72,I72))</f>
        <v>0</v>
      </c>
      <c r="I73" s="576">
        <f>IF(I72&gt;25000,25000,I72)</f>
        <v>0</v>
      </c>
      <c r="J73" s="588">
        <f>IF(SUM(H72:K72)&gt;=25000,IF(SUM(H72,I72)&gt;=25000, 0, 25000-SUM(H72,I72)),SUM(J72,K72))</f>
        <v>0</v>
      </c>
      <c r="K73" s="589">
        <f>IF(SUM(J72:K72)&gt;=25000,IF(SUM(J72)&gt;=25000, 0, 25000-SUM(J72)),K72)</f>
        <v>0</v>
      </c>
      <c r="L73" s="588">
        <f>IF(SUM(H72:M72)&gt;=25000,IF(SUM(H72:K72)&gt;=25000, 0, 25000-SUM(H72:K72)),SUM(L72,M72))</f>
        <v>0</v>
      </c>
      <c r="M73" s="589">
        <f>IF(SUM(K72:M72)&gt;=25000,IF(SUM(K72:L72)&gt;=25000, 0, 25000-SUM(K72:L72)),M72)</f>
        <v>0</v>
      </c>
      <c r="N73" s="588">
        <f>IF(SUM(H72:O72)&gt;=25000,IF(SUM(H72:M72)&gt;=25000, 0, 25000-SUM(H72:M72)),SUM(N72,O72))</f>
        <v>0</v>
      </c>
      <c r="O73" s="589">
        <f>IF(SUM(L72:O72)&gt;=25000,IF(SUM(L72:N72)&gt;=25000, 0, 25000-SUM(L72:N72)),O72)</f>
        <v>0</v>
      </c>
      <c r="P73" s="588">
        <f>IF(SUM(H72:Q72)&gt;=25000,IF(SUM(H72:O72)&gt;=25000, 0, 25000-SUM(H72:O72)),SUM(P72,Q72))</f>
        <v>0</v>
      </c>
      <c r="Q73" s="589">
        <f>IF(SUM(M72:Q72)&gt;=25000,IF(SUM(M72:P72)&gt;=25000, 0, 25000-SUM(M72:P72)),Q72)</f>
        <v>0</v>
      </c>
      <c r="R73" s="590">
        <f t="shared" ref="R73:R89" si="5">SUM(H73:Q73)</f>
        <v>0</v>
      </c>
      <c r="S73" s="591"/>
      <c r="T73" s="15"/>
    </row>
    <row r="74" spans="1:20" ht="12.75" customHeight="1" thickBot="1" x14ac:dyDescent="0.25">
      <c r="A74" s="4">
        <v>3</v>
      </c>
      <c r="B74" s="486"/>
      <c r="C74" s="568"/>
      <c r="D74" s="568"/>
      <c r="E74" s="568"/>
      <c r="F74" s="568"/>
      <c r="G74" s="487"/>
      <c r="H74" s="385"/>
      <c r="I74" s="386"/>
      <c r="J74" s="293"/>
      <c r="K74" s="292"/>
      <c r="L74" s="293"/>
      <c r="M74" s="292"/>
      <c r="N74" s="293"/>
      <c r="O74" s="292"/>
      <c r="P74" s="293"/>
      <c r="Q74" s="292"/>
      <c r="R74" s="295">
        <f>SUM(P74,N74,L74,J74,H74)</f>
        <v>0</v>
      </c>
      <c r="S74" s="296">
        <f>SUM(Q74,O74,M74,K74,I74)</f>
        <v>0</v>
      </c>
      <c r="T74" s="15"/>
    </row>
    <row r="75" spans="1:20" ht="12.75" hidden="1" customHeight="1" thickBot="1" x14ac:dyDescent="0.25">
      <c r="A75" s="4"/>
      <c r="B75" s="577"/>
      <c r="C75" s="578"/>
      <c r="D75" s="578"/>
      <c r="E75" s="578"/>
      <c r="F75" s="578"/>
      <c r="G75" s="579"/>
      <c r="H75" s="575">
        <f>IF(SUM(H74,I74)&gt;25000,25000,SUM(H74,I74))</f>
        <v>0</v>
      </c>
      <c r="I75" s="576">
        <f>IF(I74&gt;25000,25000,I74)</f>
        <v>0</v>
      </c>
      <c r="J75" s="588">
        <f>IF(SUM(H74:K74)&gt;=25000,IF(SUM(H74,I74)&gt;=25000, 0, 25000-SUM(H74,I74)),SUM(J74,K74))</f>
        <v>0</v>
      </c>
      <c r="K75" s="589">
        <f>IF(SUM(J74:K74)&gt;=25000,IF(SUM(J74)&gt;=25000, 0, 25000-SUM(J74)),K74)</f>
        <v>0</v>
      </c>
      <c r="L75" s="588">
        <f>IF(SUM(H74:M74)&gt;=25000,IF(SUM(H74:K74)&gt;=25000, 0, 25000-SUM(H74:K74)),SUM(L74,M74))</f>
        <v>0</v>
      </c>
      <c r="M75" s="589">
        <f>IF(SUM(K74:M74)&gt;=25000,IF(SUM(K74:L74)&gt;=25000, 0, 25000-SUM(K74:L74)),M74)</f>
        <v>0</v>
      </c>
      <c r="N75" s="588">
        <f>IF(SUM(H74:O74)&gt;=25000,IF(SUM(H74:M74)&gt;=25000, 0, 25000-SUM(H74:M74)),SUM(N74,O74))</f>
        <v>0</v>
      </c>
      <c r="O75" s="589">
        <f>IF(SUM(L74:O74)&gt;=25000,IF(SUM(L74:N74)&gt;=25000, 0, 25000-SUM(L74:N74)),O74)</f>
        <v>0</v>
      </c>
      <c r="P75" s="588">
        <f>IF(SUM(H74:Q74)&gt;=25000,IF(SUM(H74:O74)&gt;=25000, 0, 25000-SUM(H74:O74)),SUM(P74,Q74))</f>
        <v>0</v>
      </c>
      <c r="Q75" s="589">
        <f>IF(SUM(M74:Q74)&gt;=25000,IF(SUM(M74:P74)&gt;=25000, 0, 25000-SUM(M74:P74)),Q74)</f>
        <v>0</v>
      </c>
      <c r="R75" s="590">
        <f t="shared" si="5"/>
        <v>0</v>
      </c>
      <c r="S75" s="591"/>
      <c r="T75" s="15"/>
    </row>
    <row r="76" spans="1:20" ht="12.75" customHeight="1" thickBot="1" x14ac:dyDescent="0.25">
      <c r="A76" s="4">
        <v>4</v>
      </c>
      <c r="B76" s="486"/>
      <c r="C76" s="568"/>
      <c r="D76" s="568"/>
      <c r="E76" s="568"/>
      <c r="F76" s="568"/>
      <c r="G76" s="487"/>
      <c r="H76" s="385"/>
      <c r="I76" s="386"/>
      <c r="J76" s="293"/>
      <c r="K76" s="292"/>
      <c r="L76" s="293"/>
      <c r="M76" s="292"/>
      <c r="N76" s="293"/>
      <c r="O76" s="292"/>
      <c r="P76" s="293"/>
      <c r="Q76" s="292"/>
      <c r="R76" s="295">
        <f>SUM(P76,N76,L76,J76,H76)</f>
        <v>0</v>
      </c>
      <c r="S76" s="296">
        <f>SUM(Q76,O76,M76,K76,I76)</f>
        <v>0</v>
      </c>
      <c r="T76" s="15"/>
    </row>
    <row r="77" spans="1:20" ht="12.75" hidden="1" customHeight="1" thickBot="1" x14ac:dyDescent="0.25">
      <c r="A77" s="4"/>
      <c r="B77" s="577"/>
      <c r="C77" s="578"/>
      <c r="D77" s="578"/>
      <c r="E77" s="578"/>
      <c r="F77" s="578"/>
      <c r="G77" s="579"/>
      <c r="H77" s="575">
        <f>IF(SUM(H76,I76)&gt;25000,25000,SUM(H76,I76))</f>
        <v>0</v>
      </c>
      <c r="I77" s="576">
        <f>IF(I76&gt;25000,25000,I76)</f>
        <v>0</v>
      </c>
      <c r="J77" s="588">
        <f>IF(SUM(H76:K76)&gt;=25000,IF(SUM(H76,I76)&gt;=25000, 0, 25000-SUM(H76,I76)),SUM(J76,K76))</f>
        <v>0</v>
      </c>
      <c r="K77" s="589">
        <f>IF(SUM(J76:K76)&gt;=25000,IF(SUM(J76)&gt;=25000, 0, 25000-SUM(J76)),K76)</f>
        <v>0</v>
      </c>
      <c r="L77" s="588">
        <f>IF(SUM(H76:M76)&gt;=25000,IF(SUM(H76:K76)&gt;=25000, 0, 25000-SUM(H76:K76)),SUM(L76,M76))</f>
        <v>0</v>
      </c>
      <c r="M77" s="589">
        <f>IF(SUM(K76:M76)&gt;=25000,IF(SUM(K76:L76)&gt;=25000, 0, 25000-SUM(K76:L76)),M76)</f>
        <v>0</v>
      </c>
      <c r="N77" s="588">
        <f>IF(SUM(H76:O76)&gt;=25000,IF(SUM(H76:M76)&gt;=25000, 0, 25000-SUM(H76:M76)),SUM(N76,O76))</f>
        <v>0</v>
      </c>
      <c r="O77" s="589">
        <f>IF(SUM(L76:O76)&gt;=25000,IF(SUM(L76:N76)&gt;=25000, 0, 25000-SUM(L76:N76)),O76)</f>
        <v>0</v>
      </c>
      <c r="P77" s="588">
        <f>IF(SUM(H76:Q76)&gt;=25000,IF(SUM(H76:O76)&gt;=25000, 0, 25000-SUM(H76:O76)),SUM(P76,Q76))</f>
        <v>0</v>
      </c>
      <c r="Q77" s="589">
        <f>IF(SUM(M76:Q76)&gt;=25000,IF(SUM(M76:P76)&gt;=25000, 0, 25000-SUM(M76:P76)),Q76)</f>
        <v>0</v>
      </c>
      <c r="R77" s="590">
        <f t="shared" si="5"/>
        <v>0</v>
      </c>
      <c r="S77" s="591"/>
      <c r="T77" s="15"/>
    </row>
    <row r="78" spans="1:20" ht="12.75" customHeight="1" thickBot="1" x14ac:dyDescent="0.25">
      <c r="A78" s="4">
        <v>5</v>
      </c>
      <c r="B78" s="486"/>
      <c r="C78" s="568"/>
      <c r="D78" s="568"/>
      <c r="E78" s="568"/>
      <c r="F78" s="568"/>
      <c r="G78" s="487"/>
      <c r="H78" s="385"/>
      <c r="I78" s="386"/>
      <c r="J78" s="293"/>
      <c r="K78" s="292"/>
      <c r="L78" s="293"/>
      <c r="M78" s="292"/>
      <c r="N78" s="293"/>
      <c r="O78" s="292"/>
      <c r="P78" s="293"/>
      <c r="Q78" s="292"/>
      <c r="R78" s="295">
        <f>SUM(P78,N78,L78,J78,H78)</f>
        <v>0</v>
      </c>
      <c r="S78" s="296">
        <f>SUM(Q78,O78,M78,K78,I78)</f>
        <v>0</v>
      </c>
      <c r="T78" s="15"/>
    </row>
    <row r="79" spans="1:20" ht="12.75" hidden="1" customHeight="1" thickBot="1" x14ac:dyDescent="0.25">
      <c r="A79" s="4"/>
      <c r="B79" s="577"/>
      <c r="C79" s="578"/>
      <c r="D79" s="578"/>
      <c r="E79" s="578"/>
      <c r="F79" s="578"/>
      <c r="G79" s="579"/>
      <c r="H79" s="575">
        <f>IF(SUM(H78,I78)&gt;25000,25000,SUM(H78,I78))</f>
        <v>0</v>
      </c>
      <c r="I79" s="576">
        <f>IF(I78&gt;25000,25000,I78)</f>
        <v>0</v>
      </c>
      <c r="J79" s="588">
        <f>IF(SUM(H78:K78)&gt;=25000,IF(SUM(H78,I78)&gt;=25000, 0, 25000-SUM(H78,I78)),SUM(J78,K78))</f>
        <v>0</v>
      </c>
      <c r="K79" s="589">
        <f>IF(SUM(J78:K78)&gt;=25000,IF(SUM(J78)&gt;=25000, 0, 25000-SUM(J78)),K78)</f>
        <v>0</v>
      </c>
      <c r="L79" s="588">
        <f>IF(SUM(H78:M78)&gt;=25000,IF(SUM(H78:K78)&gt;=25000, 0, 25000-SUM(H78:K78)),SUM(L78,M78))</f>
        <v>0</v>
      </c>
      <c r="M79" s="589">
        <f>IF(SUM(K78:M78)&gt;=25000,IF(SUM(K78:L78)&gt;=25000, 0, 25000-SUM(K78:L78)),M78)</f>
        <v>0</v>
      </c>
      <c r="N79" s="588">
        <f>IF(SUM(H78:O78)&gt;=25000,IF(SUM(H78:M78)&gt;=25000, 0, 25000-SUM(H78:M78)),SUM(N78,O78))</f>
        <v>0</v>
      </c>
      <c r="O79" s="589">
        <f>IF(SUM(L78:O78)&gt;=25000,IF(SUM(L78:N78)&gt;=25000, 0, 25000-SUM(L78:N78)),O78)</f>
        <v>0</v>
      </c>
      <c r="P79" s="588">
        <f>IF(SUM(H78:Q78)&gt;=25000,IF(SUM(H78:O78)&gt;=25000, 0, 25000-SUM(H78:O78)),SUM(P78,Q78))</f>
        <v>0</v>
      </c>
      <c r="Q79" s="589">
        <f>IF(SUM(M78:Q78)&gt;=25000,IF(SUM(M78:P78)&gt;=25000, 0, 25000-SUM(M78:P78)),Q78)</f>
        <v>0</v>
      </c>
      <c r="R79" s="590">
        <f t="shared" si="5"/>
        <v>0</v>
      </c>
      <c r="S79" s="591"/>
      <c r="T79" s="15"/>
    </row>
    <row r="80" spans="1:20" ht="12.75" customHeight="1" thickBot="1" x14ac:dyDescent="0.25">
      <c r="A80" s="4">
        <v>6</v>
      </c>
      <c r="B80" s="486"/>
      <c r="C80" s="568"/>
      <c r="D80" s="568"/>
      <c r="E80" s="568"/>
      <c r="F80" s="568"/>
      <c r="G80" s="487"/>
      <c r="H80" s="385"/>
      <c r="I80" s="386"/>
      <c r="J80" s="293"/>
      <c r="K80" s="292"/>
      <c r="L80" s="293"/>
      <c r="M80" s="292"/>
      <c r="N80" s="293"/>
      <c r="O80" s="292"/>
      <c r="P80" s="293"/>
      <c r="Q80" s="292"/>
      <c r="R80" s="295">
        <f>SUM(P80,N80,L80,J80,H80)</f>
        <v>0</v>
      </c>
      <c r="S80" s="296">
        <f>SUM(Q80,O80,M80,K80,I80)</f>
        <v>0</v>
      </c>
      <c r="T80" s="15"/>
    </row>
    <row r="81" spans="1:20" ht="12.75" hidden="1" customHeight="1" thickBot="1" x14ac:dyDescent="0.25">
      <c r="A81" s="4"/>
      <c r="B81" s="577"/>
      <c r="C81" s="578"/>
      <c r="D81" s="578"/>
      <c r="E81" s="578"/>
      <c r="F81" s="578"/>
      <c r="G81" s="579"/>
      <c r="H81" s="575">
        <f>IF(SUM(H80,I80)&gt;25000,25000,SUM(H80,I80))</f>
        <v>0</v>
      </c>
      <c r="I81" s="576">
        <f>IF(I80&gt;25000,25000,I80)</f>
        <v>0</v>
      </c>
      <c r="J81" s="588">
        <f>IF(SUM(H80:K80)&gt;=25000,IF(SUM(H80,I80)&gt;=25000, 0, 25000-SUM(H80,I80)),SUM(J80,K80))</f>
        <v>0</v>
      </c>
      <c r="K81" s="589">
        <f>IF(SUM(J80:K80)&gt;=25000,IF(SUM(J80)&gt;=25000, 0, 25000-SUM(J80)),K80)</f>
        <v>0</v>
      </c>
      <c r="L81" s="588">
        <f>IF(SUM(H80:M80)&gt;=25000,IF(SUM(H80:K80)&gt;=25000, 0, 25000-SUM(H80:K80)),SUM(L80,M80))</f>
        <v>0</v>
      </c>
      <c r="M81" s="589">
        <f>IF(SUM(K80:M80)&gt;=25000,IF(SUM(K80:L80)&gt;=25000, 0, 25000-SUM(K80:L80)),M80)</f>
        <v>0</v>
      </c>
      <c r="N81" s="588">
        <f>IF(SUM(H80:O80)&gt;=25000,IF(SUM(H80:M80)&gt;=25000, 0, 25000-SUM(H80:M80)),SUM(N80,O80))</f>
        <v>0</v>
      </c>
      <c r="O81" s="589">
        <f>IF(SUM(L80:O80)&gt;=25000,IF(SUM(L80:N80)&gt;=25000, 0, 25000-SUM(L80:N80)),O80)</f>
        <v>0</v>
      </c>
      <c r="P81" s="588">
        <f>IF(SUM(H80:Q80)&gt;=25000,IF(SUM(H80:O80)&gt;=25000, 0, 25000-SUM(H80:O80)),SUM(P80,Q80))</f>
        <v>0</v>
      </c>
      <c r="Q81" s="589">
        <f>IF(SUM(M80:Q80)&gt;=25000,IF(SUM(M80:P80)&gt;=25000, 0, 25000-SUM(M80:P80)),Q80)</f>
        <v>0</v>
      </c>
      <c r="R81" s="590">
        <f t="shared" si="5"/>
        <v>0</v>
      </c>
      <c r="S81" s="591"/>
      <c r="T81" s="15"/>
    </row>
    <row r="82" spans="1:20" ht="12.75" customHeight="1" thickBot="1" x14ac:dyDescent="0.25">
      <c r="A82" s="4">
        <v>7</v>
      </c>
      <c r="B82" s="486"/>
      <c r="C82" s="568"/>
      <c r="D82" s="568"/>
      <c r="E82" s="568"/>
      <c r="F82" s="568"/>
      <c r="G82" s="487"/>
      <c r="H82" s="385"/>
      <c r="I82" s="386"/>
      <c r="J82" s="293"/>
      <c r="K82" s="292"/>
      <c r="L82" s="293"/>
      <c r="M82" s="292"/>
      <c r="N82" s="293"/>
      <c r="O82" s="292"/>
      <c r="P82" s="293"/>
      <c r="Q82" s="292"/>
      <c r="R82" s="295">
        <f>SUM(P82,N82,L82,J82,H82)</f>
        <v>0</v>
      </c>
      <c r="S82" s="296">
        <f>SUM(Q82,O82,M82,K82,I82)</f>
        <v>0</v>
      </c>
      <c r="T82" s="15"/>
    </row>
    <row r="83" spans="1:20" ht="12.75" hidden="1" customHeight="1" thickBot="1" x14ac:dyDescent="0.25">
      <c r="A83" s="4"/>
      <c r="B83" s="577"/>
      <c r="C83" s="578"/>
      <c r="D83" s="578"/>
      <c r="E83" s="578"/>
      <c r="F83" s="578"/>
      <c r="G83" s="579"/>
      <c r="H83" s="575">
        <f>IF(SUM(H82,I82)&gt;25000,25000,SUM(H82,I82))</f>
        <v>0</v>
      </c>
      <c r="I83" s="576">
        <f>IF(I82&gt;25000,25000,I82)</f>
        <v>0</v>
      </c>
      <c r="J83" s="588">
        <f>IF(SUM(H82:K82)&gt;=25000,IF(SUM(H82,I82)&gt;=25000, 0, 25000-SUM(H82,I82)),SUM(J82,K82))</f>
        <v>0</v>
      </c>
      <c r="K83" s="589">
        <f>IF(SUM(J82:K82)&gt;=25000,IF(SUM(J82)&gt;=25000, 0, 25000-SUM(J82)),K82)</f>
        <v>0</v>
      </c>
      <c r="L83" s="588">
        <f>IF(SUM(H82:M82)&gt;=25000,IF(SUM(H82:K82)&gt;=25000, 0, 25000-SUM(H82:K82)),SUM(L82,M82))</f>
        <v>0</v>
      </c>
      <c r="M83" s="589">
        <f>IF(SUM(K82:M82)&gt;=25000,IF(SUM(K82:L82)&gt;=25000, 0, 25000-SUM(K82:L82)),M82)</f>
        <v>0</v>
      </c>
      <c r="N83" s="588">
        <f>IF(SUM(H82:O82)&gt;=25000,IF(SUM(H82:M82)&gt;=25000, 0, 25000-SUM(H82:M82)),SUM(N82,O82))</f>
        <v>0</v>
      </c>
      <c r="O83" s="589">
        <f>IF(SUM(L82:O82)&gt;=25000,IF(SUM(L82:N82)&gt;=25000, 0, 25000-SUM(L82:N82)),O82)</f>
        <v>0</v>
      </c>
      <c r="P83" s="588">
        <f>IF(SUM(H82:Q82)&gt;=25000,IF(SUM(H82:O82)&gt;=25000, 0, 25000-SUM(H82:O82)),SUM(P82,Q82))</f>
        <v>0</v>
      </c>
      <c r="Q83" s="589">
        <f>IF(SUM(M82:Q82)&gt;=25000,IF(SUM(M82:P82)&gt;=25000, 0, 25000-SUM(M82:P82)),Q82)</f>
        <v>0</v>
      </c>
      <c r="R83" s="590">
        <f t="shared" si="5"/>
        <v>0</v>
      </c>
      <c r="S83" s="591"/>
      <c r="T83" s="15"/>
    </row>
    <row r="84" spans="1:20" ht="12.75" customHeight="1" thickBot="1" x14ac:dyDescent="0.25">
      <c r="A84" s="4">
        <v>8</v>
      </c>
      <c r="B84" s="486"/>
      <c r="C84" s="568"/>
      <c r="D84" s="568"/>
      <c r="E84" s="568"/>
      <c r="F84" s="568"/>
      <c r="G84" s="487"/>
      <c r="H84" s="385"/>
      <c r="I84" s="386"/>
      <c r="J84" s="293"/>
      <c r="K84" s="292"/>
      <c r="L84" s="293"/>
      <c r="M84" s="292"/>
      <c r="N84" s="293"/>
      <c r="O84" s="292"/>
      <c r="P84" s="293"/>
      <c r="Q84" s="292"/>
      <c r="R84" s="295">
        <f>SUM(P84,N84,L84,J84,H84)</f>
        <v>0</v>
      </c>
      <c r="S84" s="296">
        <f>SUM(Q84,O84,M84,K84,I84)</f>
        <v>0</v>
      </c>
      <c r="T84" s="15"/>
    </row>
    <row r="85" spans="1:20" ht="12.75" hidden="1" customHeight="1" thickBot="1" x14ac:dyDescent="0.25">
      <c r="A85" s="4"/>
      <c r="B85" s="577"/>
      <c r="C85" s="578"/>
      <c r="D85" s="578"/>
      <c r="E85" s="578"/>
      <c r="F85" s="578"/>
      <c r="G85" s="579"/>
      <c r="H85" s="575">
        <f>IF(SUM(H84,I84)&gt;25000,25000,SUM(H84,I84))</f>
        <v>0</v>
      </c>
      <c r="I85" s="576">
        <f>IF(I84&gt;25000,25000,I84)</f>
        <v>0</v>
      </c>
      <c r="J85" s="588">
        <f>IF(SUM(H84:K84)&gt;=25000,IF(SUM(H84,I84)&gt;=25000, 0, 25000-SUM(H84,I84)),SUM(J84,K84))</f>
        <v>0</v>
      </c>
      <c r="K85" s="589">
        <f>IF(SUM(J84:K84)&gt;=25000,IF(SUM(J84)&gt;=25000, 0, 25000-SUM(J84)),K84)</f>
        <v>0</v>
      </c>
      <c r="L85" s="588">
        <f>IF(SUM(H84:M84)&gt;=25000,IF(SUM(H84:K84)&gt;=25000, 0, 25000-SUM(H84:K84)),SUM(L84,M84))</f>
        <v>0</v>
      </c>
      <c r="M85" s="589">
        <f>IF(SUM(K84:M84)&gt;=25000,IF(SUM(K84:L84)&gt;=25000, 0, 25000-SUM(K84:L84)),M84)</f>
        <v>0</v>
      </c>
      <c r="N85" s="588">
        <f>IF(SUM(H84:O84)&gt;=25000,IF(SUM(H84:M84)&gt;=25000, 0, 25000-SUM(H84:M84)),SUM(N84,O84))</f>
        <v>0</v>
      </c>
      <c r="O85" s="589">
        <f>IF(SUM(L84:O84)&gt;=25000,IF(SUM(L84:N84)&gt;=25000, 0, 25000-SUM(L84:N84)),O84)</f>
        <v>0</v>
      </c>
      <c r="P85" s="588">
        <f>IF(SUM(H84:Q84)&gt;=25000,IF(SUM(H84:O84)&gt;=25000, 0, 25000-SUM(H84:O84)),SUM(P84,Q84))</f>
        <v>0</v>
      </c>
      <c r="Q85" s="589">
        <f>IF(SUM(M84:Q84)&gt;=25000,IF(SUM(M84:P84)&gt;=25000, 0, 25000-SUM(M84:P84)),Q84)</f>
        <v>0</v>
      </c>
      <c r="R85" s="590">
        <f t="shared" si="5"/>
        <v>0</v>
      </c>
      <c r="S85" s="591"/>
      <c r="T85" s="15"/>
    </row>
    <row r="86" spans="1:20" ht="12.75" customHeight="1" thickBot="1" x14ac:dyDescent="0.25">
      <c r="A86" s="4">
        <v>9</v>
      </c>
      <c r="B86" s="486"/>
      <c r="C86" s="568"/>
      <c r="D86" s="568"/>
      <c r="E86" s="568"/>
      <c r="F86" s="568"/>
      <c r="G86" s="487"/>
      <c r="H86" s="385"/>
      <c r="I86" s="386"/>
      <c r="J86" s="293"/>
      <c r="K86" s="292"/>
      <c r="L86" s="293"/>
      <c r="M86" s="292"/>
      <c r="N86" s="293"/>
      <c r="O86" s="292"/>
      <c r="P86" s="293"/>
      <c r="Q86" s="292"/>
      <c r="R86" s="295">
        <f>SUM(P86,N86,L86,J86,H86)</f>
        <v>0</v>
      </c>
      <c r="S86" s="296">
        <f>SUM(Q86,O86,M86,K86,I86)</f>
        <v>0</v>
      </c>
      <c r="T86" s="15"/>
    </row>
    <row r="87" spans="1:20" ht="12.75" hidden="1" customHeight="1" thickBot="1" x14ac:dyDescent="0.25">
      <c r="A87" s="4"/>
      <c r="B87" s="577"/>
      <c r="C87" s="578"/>
      <c r="D87" s="578"/>
      <c r="E87" s="578"/>
      <c r="F87" s="578"/>
      <c r="G87" s="579"/>
      <c r="H87" s="575">
        <f>IF(SUM(H86,I86)&gt;25000,25000,SUM(H86,I86))</f>
        <v>0</v>
      </c>
      <c r="I87" s="576">
        <f>IF(I86&gt;25000,25000,I86)</f>
        <v>0</v>
      </c>
      <c r="J87" s="588">
        <f>IF(SUM(H86:K86)&gt;=25000,IF(SUM(H86,I86)&gt;=25000, 0, 25000-SUM(H86,I86)),SUM(J86,K86))</f>
        <v>0</v>
      </c>
      <c r="K87" s="589">
        <f>IF(SUM(J86:K86)&gt;=25000,IF(SUM(J86)&gt;=25000, 0, 25000-SUM(J86)),K86)</f>
        <v>0</v>
      </c>
      <c r="L87" s="588">
        <f>IF(SUM(H86:M86)&gt;=25000,IF(SUM(H86:K86)&gt;=25000, 0, 25000-SUM(H86:K86)),SUM(L86,M86))</f>
        <v>0</v>
      </c>
      <c r="M87" s="589">
        <f>IF(SUM(K86:M86)&gt;=25000,IF(SUM(K86:L86)&gt;=25000, 0, 25000-SUM(K86:L86)),M86)</f>
        <v>0</v>
      </c>
      <c r="N87" s="588">
        <f>IF(SUM(H86:O86)&gt;=25000,IF(SUM(H86:M86)&gt;=25000, 0, 25000-SUM(H86:M86)),SUM(N86,O86))</f>
        <v>0</v>
      </c>
      <c r="O87" s="589">
        <f>IF(SUM(L86:O86)&gt;=25000,IF(SUM(L86:N86)&gt;=25000, 0, 25000-SUM(L86:N86)),O86)</f>
        <v>0</v>
      </c>
      <c r="P87" s="588">
        <f>IF(SUM(H86:Q86)&gt;=25000,IF(SUM(H86:O86)&gt;=25000, 0, 25000-SUM(H86:O86)),SUM(P86,Q86))</f>
        <v>0</v>
      </c>
      <c r="Q87" s="589">
        <f>IF(SUM(M86:Q86)&gt;=25000,IF(SUM(M86:P86)&gt;=25000, 0, 25000-SUM(M86:P86)),Q86)</f>
        <v>0</v>
      </c>
      <c r="R87" s="590">
        <f t="shared" si="5"/>
        <v>0</v>
      </c>
      <c r="S87" s="591"/>
      <c r="T87" s="15"/>
    </row>
    <row r="88" spans="1:20" ht="12.75" customHeight="1" thickBot="1" x14ac:dyDescent="0.25">
      <c r="A88" s="4">
        <v>10</v>
      </c>
      <c r="B88" s="486"/>
      <c r="C88" s="568"/>
      <c r="D88" s="568"/>
      <c r="E88" s="568"/>
      <c r="F88" s="568"/>
      <c r="G88" s="487"/>
      <c r="H88" s="385"/>
      <c r="I88" s="386"/>
      <c r="J88" s="293"/>
      <c r="K88" s="292"/>
      <c r="L88" s="293"/>
      <c r="M88" s="292"/>
      <c r="N88" s="293"/>
      <c r="O88" s="292"/>
      <c r="P88" s="293"/>
      <c r="Q88" s="292"/>
      <c r="R88" s="295">
        <f>SUM(P88,N88,L88,J88,H88)</f>
        <v>0</v>
      </c>
      <c r="S88" s="296">
        <f>SUM(Q88,O88,M88,K88,I88)</f>
        <v>0</v>
      </c>
      <c r="T88" s="189"/>
    </row>
    <row r="89" spans="1:20" ht="12.75" hidden="1" customHeight="1" thickBot="1" x14ac:dyDescent="0.25">
      <c r="B89" s="585"/>
      <c r="C89" s="586"/>
      <c r="D89" s="586"/>
      <c r="E89" s="586"/>
      <c r="F89" s="586"/>
      <c r="G89" s="587"/>
      <c r="H89" s="583">
        <f>IF(SUM(H88,I88)&gt;25000,25000,SUM(H88,I88))</f>
        <v>0</v>
      </c>
      <c r="I89" s="584">
        <f>IF(I88&gt;25000,25000,I88)</f>
        <v>0</v>
      </c>
      <c r="J89" s="583">
        <f>IF(SUM(H88:K88)&gt;=25000,IF(SUM(H88,I88)&gt;=25000, 0, 25000-SUM(H88,I88)),SUM(J88,K88))</f>
        <v>0</v>
      </c>
      <c r="K89" s="584">
        <f>IF(SUM(J88:K88)&gt;=25000,IF(SUM(J88)&gt;=25000, 0, 25000-SUM(J88)),K88)</f>
        <v>0</v>
      </c>
      <c r="L89" s="583">
        <f>IF(SUM(H88:M88)&gt;=25000,IF(SUM(H88:K88)&gt;=25000, 0, 25000-SUM(H88:K88)),SUM(L88,M88))</f>
        <v>0</v>
      </c>
      <c r="M89" s="584">
        <f>IF(SUM(K88:M88)&gt;=25000,IF(SUM(K88:L88)&gt;=25000, 0, 25000-SUM(K88:L88)),M88)</f>
        <v>0</v>
      </c>
      <c r="N89" s="583">
        <f>IF(SUM(H88:O88)&gt;=25000,IF(SUM(H88:M88)&gt;=25000, 0, 25000-SUM(H88:M88)),SUM(N88,O88))</f>
        <v>0</v>
      </c>
      <c r="O89" s="584">
        <f>IF(SUM(L88:O88)&gt;=25000,IF(SUM(L88:N88)&gt;=25000, 0, 25000-SUM(L88:N88)),O88)</f>
        <v>0</v>
      </c>
      <c r="P89" s="583">
        <f>IF(SUM(H88:Q88)&gt;=25000,IF(SUM(H88:O88)&gt;=25000, 0, 25000-SUM(H88:O88)),SUM(P88,Q88))</f>
        <v>0</v>
      </c>
      <c r="Q89" s="584">
        <f>IF(SUM(M88:Q88)&gt;=25000,IF(SUM(M88:P88)&gt;=25000, 0, 25000-SUM(M88:P88)),Q88)</f>
        <v>0</v>
      </c>
      <c r="R89" s="672">
        <f t="shared" si="5"/>
        <v>0</v>
      </c>
      <c r="S89" s="673"/>
    </row>
    <row r="90" spans="1:20" ht="12.75" customHeight="1" thickBot="1" x14ac:dyDescent="0.25">
      <c r="B90" s="18"/>
      <c r="C90" s="18"/>
      <c r="D90" s="18"/>
      <c r="E90" s="18"/>
      <c r="F90" s="18"/>
      <c r="G90" s="147"/>
      <c r="H90" s="294">
        <f t="shared" ref="H90:Q90" si="6">SUM(H70,H72,H74,H76,H78,H80,H82,H84,H86,H88)</f>
        <v>0</v>
      </c>
      <c r="I90" s="297">
        <f t="shared" si="6"/>
        <v>0</v>
      </c>
      <c r="J90" s="294">
        <f t="shared" si="6"/>
        <v>0</v>
      </c>
      <c r="K90" s="297">
        <f t="shared" si="6"/>
        <v>0</v>
      </c>
      <c r="L90" s="294">
        <f t="shared" si="6"/>
        <v>0</v>
      </c>
      <c r="M90" s="297">
        <f t="shared" si="6"/>
        <v>0</v>
      </c>
      <c r="N90" s="294">
        <f t="shared" si="6"/>
        <v>0</v>
      </c>
      <c r="O90" s="297">
        <f t="shared" si="6"/>
        <v>0</v>
      </c>
      <c r="P90" s="294">
        <f t="shared" si="6"/>
        <v>0</v>
      </c>
      <c r="Q90" s="297">
        <f t="shared" si="6"/>
        <v>0</v>
      </c>
      <c r="R90" s="294">
        <f>SUM(P90,N90,L90,J90,H90)</f>
        <v>0</v>
      </c>
      <c r="S90" s="297">
        <f>SUM(Q90,O90,M90,K90,I90)</f>
        <v>0</v>
      </c>
    </row>
    <row r="91" spans="1:20" ht="12.75" hidden="1" customHeight="1" thickBot="1" x14ac:dyDescent="0.25">
      <c r="H91" s="581">
        <f>SUM(H71,H73,H75,H77,H79,H81,H83,H85,H87,H89)</f>
        <v>0</v>
      </c>
      <c r="I91" s="582"/>
      <c r="J91" s="581">
        <f>SUM(J71,J73,J75,J77,J79,J81,J83,J85,J87,J89)</f>
        <v>0</v>
      </c>
      <c r="K91" s="582"/>
      <c r="L91" s="581">
        <f>SUM(L71,L73,L75,L77,L79,L81,L83,L85,L87,L89)</f>
        <v>0</v>
      </c>
      <c r="M91" s="582"/>
      <c r="N91" s="581">
        <f>SUM(N71,N73,N75,N77,N79,N81,N83,N85,N87,N89)</f>
        <v>0</v>
      </c>
      <c r="O91" s="582"/>
      <c r="P91" s="581">
        <f>SUM(P71,P73,P75,P77,P79,P81,P83,P85,P87,P89)</f>
        <v>0</v>
      </c>
      <c r="Q91" s="582"/>
      <c r="R91" s="581">
        <f>SUM(R71,R73,R75,R77,R79,R81,R83,R85,R87,R89)</f>
        <v>0</v>
      </c>
      <c r="S91" s="582"/>
    </row>
    <row r="92" spans="1:20" ht="12.75" customHeight="1" x14ac:dyDescent="0.2">
      <c r="S92" s="18"/>
    </row>
    <row r="93" spans="1:20" x14ac:dyDescent="0.2">
      <c r="H93" s="335">
        <f>IF(OR(ISBLANK('Personnel Yr 1'!$B$43),NOT(ISNUMBER('Personnel Yr 1'!$B$43))),1,'Personnel Yr 1'!$B$43)</f>
        <v>1</v>
      </c>
      <c r="I93" s="335"/>
      <c r="J93" s="335">
        <f>IF(OR(ISBLANK('Personnel Yr 2'!$B$43),NOT(ISNUMBER('Personnel Yr 2'!$B$43))),1,'Personnel Yr 2'!$B$43)</f>
        <v>1</v>
      </c>
      <c r="K93" s="335"/>
      <c r="L93" s="335">
        <f>IF(OR(ISBLANK('Personnel Yr 3'!$B$43),NOT(ISNUMBER('Personnel Yr 3'!$B$43))),1,'Personnel Yr 3'!$B$43)</f>
        <v>1</v>
      </c>
      <c r="M93" s="335"/>
      <c r="N93" s="335">
        <f>IF(OR(ISBLANK('Personnel Yr 4'!$B$41),NOT(ISNUMBER('Personnel Yr 4'!$B$41))),1,'Personnel Yr 4'!$B$41)</f>
        <v>1</v>
      </c>
      <c r="O93" s="335"/>
      <c r="P93" s="335">
        <f>IF(OR(ISBLANK('Personnel Yr 5'!$B$41),NOT(ISNUMBER('Personnel Yr 5'!$B$41))),1,'Personnel Yr 5'!$B$41)</f>
        <v>1</v>
      </c>
    </row>
  </sheetData>
  <sheetProtection algorithmName="SHA-512" hashValue="N+4W/zZXz9ABYKhPsoMJHMzByOR352ypcXrLtQXibNxRy+DF+EOktv5ke3GMYifwYnpatpeZv51RRBw8KfDuyw==" saltValue="CmZmTwa5v0KO0cA/TIgzHg==" spinCount="100000" sheet="1" objects="1" scenarios="1"/>
  <mergeCells count="437">
    <mergeCell ref="R43:S43"/>
    <mergeCell ref="B41:C41"/>
    <mergeCell ref="B42:G42"/>
    <mergeCell ref="B43:G43"/>
    <mergeCell ref="H42:I42"/>
    <mergeCell ref="J42:K42"/>
    <mergeCell ref="L42:M42"/>
    <mergeCell ref="N42:O42"/>
    <mergeCell ref="P42:Q42"/>
    <mergeCell ref="H43:I43"/>
    <mergeCell ref="J43:K43"/>
    <mergeCell ref="L43:M43"/>
    <mergeCell ref="N43:O43"/>
    <mergeCell ref="P43:Q43"/>
    <mergeCell ref="N41:O41"/>
    <mergeCell ref="D41:E41"/>
    <mergeCell ref="F41:G41"/>
    <mergeCell ref="R59:S59"/>
    <mergeCell ref="R61:S61"/>
    <mergeCell ref="R60:S60"/>
    <mergeCell ref="J68:K68"/>
    <mergeCell ref="H68:I68"/>
    <mergeCell ref="H71:I71"/>
    <mergeCell ref="L71:M71"/>
    <mergeCell ref="J71:K71"/>
    <mergeCell ref="P66:Q66"/>
    <mergeCell ref="R66:S66"/>
    <mergeCell ref="R65:S65"/>
    <mergeCell ref="R62:S62"/>
    <mergeCell ref="P65:Q65"/>
    <mergeCell ref="N62:O62"/>
    <mergeCell ref="L66:M66"/>
    <mergeCell ref="L62:M62"/>
    <mergeCell ref="L65:M65"/>
    <mergeCell ref="R68:S68"/>
    <mergeCell ref="P68:Q68"/>
    <mergeCell ref="N68:O68"/>
    <mergeCell ref="L68:M68"/>
    <mergeCell ref="P62:Q62"/>
    <mergeCell ref="J61:K61"/>
    <mergeCell ref="L59:M59"/>
    <mergeCell ref="N44:O44"/>
    <mergeCell ref="P44:Q44"/>
    <mergeCell ref="R44:S44"/>
    <mergeCell ref="B45:G45"/>
    <mergeCell ref="H45:I45"/>
    <mergeCell ref="J45:K45"/>
    <mergeCell ref="L45:M45"/>
    <mergeCell ref="N45:O45"/>
    <mergeCell ref="P45:Q45"/>
    <mergeCell ref="R45:S45"/>
    <mergeCell ref="R83:S83"/>
    <mergeCell ref="P89:Q89"/>
    <mergeCell ref="N89:O89"/>
    <mergeCell ref="L89:M89"/>
    <mergeCell ref="R85:S85"/>
    <mergeCell ref="R89:S89"/>
    <mergeCell ref="J75:K75"/>
    <mergeCell ref="J77:K77"/>
    <mergeCell ref="H81:I81"/>
    <mergeCell ref="J85:K85"/>
    <mergeCell ref="P79:Q79"/>
    <mergeCell ref="R87:S87"/>
    <mergeCell ref="N87:O87"/>
    <mergeCell ref="N75:O75"/>
    <mergeCell ref="P75:Q75"/>
    <mergeCell ref="N77:O77"/>
    <mergeCell ref="L75:M75"/>
    <mergeCell ref="N79:O79"/>
    <mergeCell ref="N81:O81"/>
    <mergeCell ref="N83:O83"/>
    <mergeCell ref="N85:O85"/>
    <mergeCell ref="L83:M83"/>
    <mergeCell ref="L81:M81"/>
    <mergeCell ref="L85:M85"/>
    <mergeCell ref="A1:S1"/>
    <mergeCell ref="A3:S3"/>
    <mergeCell ref="D52:G52"/>
    <mergeCell ref="H52:I52"/>
    <mergeCell ref="R40:S40"/>
    <mergeCell ref="R41:S41"/>
    <mergeCell ref="R46:S46"/>
    <mergeCell ref="R47:S47"/>
    <mergeCell ref="R33:S33"/>
    <mergeCell ref="B38:G38"/>
    <mergeCell ref="B39:G39"/>
    <mergeCell ref="B40:G40"/>
    <mergeCell ref="B46:G46"/>
    <mergeCell ref="B34:G34"/>
    <mergeCell ref="B35:G35"/>
    <mergeCell ref="B36:G36"/>
    <mergeCell ref="B37:G37"/>
    <mergeCell ref="R39:S39"/>
    <mergeCell ref="R35:S35"/>
    <mergeCell ref="R48:S48"/>
    <mergeCell ref="R51:S51"/>
    <mergeCell ref="R38:S38"/>
    <mergeCell ref="P35:Q35"/>
    <mergeCell ref="R34:S34"/>
    <mergeCell ref="R52:S52"/>
    <mergeCell ref="R56:S56"/>
    <mergeCell ref="P57:Q57"/>
    <mergeCell ref="P58:Q58"/>
    <mergeCell ref="P59:Q59"/>
    <mergeCell ref="P61:Q61"/>
    <mergeCell ref="R58:S58"/>
    <mergeCell ref="P36:Q36"/>
    <mergeCell ref="P46:Q46"/>
    <mergeCell ref="P47:Q47"/>
    <mergeCell ref="P37:Q37"/>
    <mergeCell ref="P38:Q38"/>
    <mergeCell ref="P39:Q39"/>
    <mergeCell ref="P40:Q40"/>
    <mergeCell ref="P41:Q41"/>
    <mergeCell ref="R36:S36"/>
    <mergeCell ref="R37:S37"/>
    <mergeCell ref="P48:Q48"/>
    <mergeCell ref="P51:Q51"/>
    <mergeCell ref="P52:Q52"/>
    <mergeCell ref="P56:Q56"/>
    <mergeCell ref="P60:Q60"/>
    <mergeCell ref="R57:S57"/>
    <mergeCell ref="R42:S42"/>
    <mergeCell ref="J56:K56"/>
    <mergeCell ref="F57:G57"/>
    <mergeCell ref="H57:I57"/>
    <mergeCell ref="J57:K57"/>
    <mergeCell ref="F58:G58"/>
    <mergeCell ref="H58:I58"/>
    <mergeCell ref="C57:E57"/>
    <mergeCell ref="C58:E58"/>
    <mergeCell ref="J58:K58"/>
    <mergeCell ref="F56:G56"/>
    <mergeCell ref="H36:I36"/>
    <mergeCell ref="J37:K37"/>
    <mergeCell ref="C66:G66"/>
    <mergeCell ref="H66:I66"/>
    <mergeCell ref="J62:K62"/>
    <mergeCell ref="B64:E64"/>
    <mergeCell ref="J65:K65"/>
    <mergeCell ref="H65:I65"/>
    <mergeCell ref="F62:G62"/>
    <mergeCell ref="H62:I62"/>
    <mergeCell ref="J59:K59"/>
    <mergeCell ref="F61:G61"/>
    <mergeCell ref="H61:I61"/>
    <mergeCell ref="F59:G59"/>
    <mergeCell ref="H59:I59"/>
    <mergeCell ref="F60:G60"/>
    <mergeCell ref="H60:I60"/>
    <mergeCell ref="J60:K60"/>
    <mergeCell ref="J66:K66"/>
    <mergeCell ref="C59:E59"/>
    <mergeCell ref="C60:E60"/>
    <mergeCell ref="C61:E61"/>
    <mergeCell ref="C56:E56"/>
    <mergeCell ref="H56:I56"/>
    <mergeCell ref="J26:K26"/>
    <mergeCell ref="J27:K27"/>
    <mergeCell ref="L26:M26"/>
    <mergeCell ref="N33:O33"/>
    <mergeCell ref="N34:O34"/>
    <mergeCell ref="D55:F55"/>
    <mergeCell ref="J47:K47"/>
    <mergeCell ref="B47:G47"/>
    <mergeCell ref="J51:K51"/>
    <mergeCell ref="J52:K52"/>
    <mergeCell ref="H51:I51"/>
    <mergeCell ref="J48:K48"/>
    <mergeCell ref="B54:G54"/>
    <mergeCell ref="B50:E50"/>
    <mergeCell ref="N35:O35"/>
    <mergeCell ref="N36:O36"/>
    <mergeCell ref="N37:O37"/>
    <mergeCell ref="N38:O38"/>
    <mergeCell ref="N39:O39"/>
    <mergeCell ref="L48:M48"/>
    <mergeCell ref="L51:M51"/>
    <mergeCell ref="H46:I46"/>
    <mergeCell ref="H39:I39"/>
    <mergeCell ref="H40:I40"/>
    <mergeCell ref="J40:K40"/>
    <mergeCell ref="J46:K46"/>
    <mergeCell ref="P33:Q33"/>
    <mergeCell ref="P34:Q34"/>
    <mergeCell ref="J39:K39"/>
    <mergeCell ref="N40:O40"/>
    <mergeCell ref="H48:I48"/>
    <mergeCell ref="E48:G48"/>
    <mergeCell ref="L27:M27"/>
    <mergeCell ref="J41:K41"/>
    <mergeCell ref="H41:I41"/>
    <mergeCell ref="J38:K38"/>
    <mergeCell ref="H37:I37"/>
    <mergeCell ref="H38:I38"/>
    <mergeCell ref="H47:I47"/>
    <mergeCell ref="B44:G44"/>
    <mergeCell ref="H44:I44"/>
    <mergeCell ref="J44:K44"/>
    <mergeCell ref="L33:M33"/>
    <mergeCell ref="L34:M34"/>
    <mergeCell ref="J35:K35"/>
    <mergeCell ref="J36:K36"/>
    <mergeCell ref="H35:I35"/>
    <mergeCell ref="H33:I33"/>
    <mergeCell ref="L35:M35"/>
    <mergeCell ref="R28:S28"/>
    <mergeCell ref="B32:E32"/>
    <mergeCell ref="P28:Q28"/>
    <mergeCell ref="N28:O28"/>
    <mergeCell ref="L28:M28"/>
    <mergeCell ref="J28:K28"/>
    <mergeCell ref="P29:Q29"/>
    <mergeCell ref="N29:O29"/>
    <mergeCell ref="L29:M29"/>
    <mergeCell ref="R29:S29"/>
    <mergeCell ref="C29:E29"/>
    <mergeCell ref="F29:G29"/>
    <mergeCell ref="J29:K29"/>
    <mergeCell ref="H29:I29"/>
    <mergeCell ref="J33:K33"/>
    <mergeCell ref="J34:K34"/>
    <mergeCell ref="H34:I34"/>
    <mergeCell ref="R6:S6"/>
    <mergeCell ref="R7:S7"/>
    <mergeCell ref="R8:S8"/>
    <mergeCell ref="R9:S9"/>
    <mergeCell ref="R21:S21"/>
    <mergeCell ref="R20:S20"/>
    <mergeCell ref="R10:S10"/>
    <mergeCell ref="R11:S11"/>
    <mergeCell ref="P14:Q14"/>
    <mergeCell ref="R15:S15"/>
    <mergeCell ref="R18:S18"/>
    <mergeCell ref="R19:S19"/>
    <mergeCell ref="P15:Q15"/>
    <mergeCell ref="P18:Q18"/>
    <mergeCell ref="R14:S14"/>
    <mergeCell ref="P6:Q6"/>
    <mergeCell ref="R12:S12"/>
    <mergeCell ref="P19:Q19"/>
    <mergeCell ref="P7:Q7"/>
    <mergeCell ref="P8:Q8"/>
    <mergeCell ref="P9:Q9"/>
    <mergeCell ref="P10:Q10"/>
    <mergeCell ref="P11:Q11"/>
    <mergeCell ref="P12:Q12"/>
    <mergeCell ref="R24:S24"/>
    <mergeCell ref="R25:S25"/>
    <mergeCell ref="R26:S26"/>
    <mergeCell ref="R27:S27"/>
    <mergeCell ref="P24:Q24"/>
    <mergeCell ref="N25:O25"/>
    <mergeCell ref="P25:Q25"/>
    <mergeCell ref="R13:S13"/>
    <mergeCell ref="P26:Q26"/>
    <mergeCell ref="N26:O26"/>
    <mergeCell ref="P20:Q20"/>
    <mergeCell ref="P21:Q21"/>
    <mergeCell ref="N21:O21"/>
    <mergeCell ref="N20:O20"/>
    <mergeCell ref="N14:O14"/>
    <mergeCell ref="N15:O15"/>
    <mergeCell ref="N24:O24"/>
    <mergeCell ref="P13:Q13"/>
    <mergeCell ref="N27:O27"/>
    <mergeCell ref="P27:Q27"/>
    <mergeCell ref="N6:O6"/>
    <mergeCell ref="N7:O7"/>
    <mergeCell ref="N8:O8"/>
    <mergeCell ref="N9:O9"/>
    <mergeCell ref="N10:O10"/>
    <mergeCell ref="N11:O11"/>
    <mergeCell ref="N12:O12"/>
    <mergeCell ref="N19:O19"/>
    <mergeCell ref="N13:O13"/>
    <mergeCell ref="N18:O18"/>
    <mergeCell ref="L25:M25"/>
    <mergeCell ref="J21:K21"/>
    <mergeCell ref="L10:M10"/>
    <mergeCell ref="L11:M11"/>
    <mergeCell ref="L12:M12"/>
    <mergeCell ref="L13:M13"/>
    <mergeCell ref="L20:M20"/>
    <mergeCell ref="J18:K18"/>
    <mergeCell ref="J19:K19"/>
    <mergeCell ref="L21:M21"/>
    <mergeCell ref="J24:K24"/>
    <mergeCell ref="L24:M24"/>
    <mergeCell ref="L14:M14"/>
    <mergeCell ref="L15:M15"/>
    <mergeCell ref="L18:M18"/>
    <mergeCell ref="L19:M19"/>
    <mergeCell ref="J20:K20"/>
    <mergeCell ref="J25:K25"/>
    <mergeCell ref="L6:M6"/>
    <mergeCell ref="L7:M7"/>
    <mergeCell ref="L8:M8"/>
    <mergeCell ref="L9:M9"/>
    <mergeCell ref="J15:K15"/>
    <mergeCell ref="H18:I18"/>
    <mergeCell ref="H19:I19"/>
    <mergeCell ref="J8:K8"/>
    <mergeCell ref="J9:K9"/>
    <mergeCell ref="J10:K10"/>
    <mergeCell ref="J11:K11"/>
    <mergeCell ref="J12:K12"/>
    <mergeCell ref="J13:K13"/>
    <mergeCell ref="J14:K14"/>
    <mergeCell ref="H13:I13"/>
    <mergeCell ref="H15:I15"/>
    <mergeCell ref="H10:I10"/>
    <mergeCell ref="H9:I9"/>
    <mergeCell ref="H8:I8"/>
    <mergeCell ref="H7:I7"/>
    <mergeCell ref="H12:I12"/>
    <mergeCell ref="H11:I11"/>
    <mergeCell ref="F15:G15"/>
    <mergeCell ref="B14:G14"/>
    <mergeCell ref="B13:G13"/>
    <mergeCell ref="B12:G12"/>
    <mergeCell ref="B11:G11"/>
    <mergeCell ref="H14:I14"/>
    <mergeCell ref="B20:G20"/>
    <mergeCell ref="B19:G19"/>
    <mergeCell ref="H28:I28"/>
    <mergeCell ref="H27:I27"/>
    <mergeCell ref="H25:I25"/>
    <mergeCell ref="H26:I26"/>
    <mergeCell ref="B28:G28"/>
    <mergeCell ref="H24:I24"/>
    <mergeCell ref="B17:D17"/>
    <mergeCell ref="B23:E23"/>
    <mergeCell ref="H20:I20"/>
    <mergeCell ref="B27:G27"/>
    <mergeCell ref="B26:G26"/>
    <mergeCell ref="B25:G25"/>
    <mergeCell ref="H21:I21"/>
    <mergeCell ref="F21:G21"/>
    <mergeCell ref="B4:D4"/>
    <mergeCell ref="B6:G6"/>
    <mergeCell ref="B10:G10"/>
    <mergeCell ref="B9:G9"/>
    <mergeCell ref="B8:G8"/>
    <mergeCell ref="B7:G7"/>
    <mergeCell ref="B5:J5"/>
    <mergeCell ref="J6:K6"/>
    <mergeCell ref="J7:K7"/>
    <mergeCell ref="H6:I6"/>
    <mergeCell ref="L61:M61"/>
    <mergeCell ref="L60:M60"/>
    <mergeCell ref="L56:M56"/>
    <mergeCell ref="L57:M57"/>
    <mergeCell ref="L58:M58"/>
    <mergeCell ref="L36:M36"/>
    <mergeCell ref="L46:M46"/>
    <mergeCell ref="L47:M47"/>
    <mergeCell ref="L37:M37"/>
    <mergeCell ref="L38:M38"/>
    <mergeCell ref="L39:M39"/>
    <mergeCell ref="L40:M40"/>
    <mergeCell ref="L41:M41"/>
    <mergeCell ref="L52:M52"/>
    <mergeCell ref="L44:M44"/>
    <mergeCell ref="N46:O46"/>
    <mergeCell ref="N47:O47"/>
    <mergeCell ref="N65:O65"/>
    <mergeCell ref="N66:O66"/>
    <mergeCell ref="N57:O57"/>
    <mergeCell ref="N58:O58"/>
    <mergeCell ref="N59:O59"/>
    <mergeCell ref="N61:O61"/>
    <mergeCell ref="N60:O60"/>
    <mergeCell ref="N48:O48"/>
    <mergeCell ref="N51:O51"/>
    <mergeCell ref="N52:O52"/>
    <mergeCell ref="N56:O56"/>
    <mergeCell ref="R91:S91"/>
    <mergeCell ref="P91:Q91"/>
    <mergeCell ref="N91:O91"/>
    <mergeCell ref="L91:M91"/>
    <mergeCell ref="J91:K91"/>
    <mergeCell ref="L73:M73"/>
    <mergeCell ref="R73:S73"/>
    <mergeCell ref="R71:S71"/>
    <mergeCell ref="N71:O71"/>
    <mergeCell ref="P71:Q71"/>
    <mergeCell ref="P73:Q73"/>
    <mergeCell ref="N73:O73"/>
    <mergeCell ref="R81:S81"/>
    <mergeCell ref="R79:S79"/>
    <mergeCell ref="R77:S77"/>
    <mergeCell ref="R75:S75"/>
    <mergeCell ref="P81:Q81"/>
    <mergeCell ref="L87:M87"/>
    <mergeCell ref="P83:Q83"/>
    <mergeCell ref="L79:M79"/>
    <mergeCell ref="P85:Q85"/>
    <mergeCell ref="P87:Q87"/>
    <mergeCell ref="L77:M77"/>
    <mergeCell ref="P77:Q77"/>
    <mergeCell ref="B68:G68"/>
    <mergeCell ref="H91:I91"/>
    <mergeCell ref="B87:G87"/>
    <mergeCell ref="B85:G85"/>
    <mergeCell ref="B88:G88"/>
    <mergeCell ref="J89:K89"/>
    <mergeCell ref="B89:G89"/>
    <mergeCell ref="B86:G86"/>
    <mergeCell ref="H89:I89"/>
    <mergeCell ref="H87:I87"/>
    <mergeCell ref="H85:I85"/>
    <mergeCell ref="J87:K87"/>
    <mergeCell ref="J73:K73"/>
    <mergeCell ref="B84:G84"/>
    <mergeCell ref="J83:K83"/>
    <mergeCell ref="H83:I83"/>
    <mergeCell ref="B83:G83"/>
    <mergeCell ref="B82:G82"/>
    <mergeCell ref="J81:K81"/>
    <mergeCell ref="B81:G81"/>
    <mergeCell ref="B80:G80"/>
    <mergeCell ref="J79:K79"/>
    <mergeCell ref="H79:I79"/>
    <mergeCell ref="B79:G79"/>
    <mergeCell ref="B72:G72"/>
    <mergeCell ref="B71:G71"/>
    <mergeCell ref="B70:G70"/>
    <mergeCell ref="B78:G78"/>
    <mergeCell ref="H77:I77"/>
    <mergeCell ref="B77:G77"/>
    <mergeCell ref="B76:G76"/>
    <mergeCell ref="H75:I75"/>
    <mergeCell ref="B75:G75"/>
    <mergeCell ref="B74:G74"/>
    <mergeCell ref="H73:I73"/>
    <mergeCell ref="B73:G73"/>
  </mergeCells>
  <phoneticPr fontId="5" type="noConversion"/>
  <conditionalFormatting sqref="F41">
    <cfRule type="cellIs" dxfId="5" priority="6" stopIfTrue="1" operator="equal">
      <formula>""</formula>
    </cfRule>
  </conditionalFormatting>
  <dataValidations count="4">
    <dataValidation type="list" allowBlank="1" showInputMessage="1" showErrorMessage="1" sqref="F41" xr:uid="{00000000-0002-0000-0600-000000000000}">
      <formula1>TuitionDesc</formula1>
    </dataValidation>
    <dataValidation type="list" allowBlank="1" showInputMessage="1" showErrorMessage="1" sqref="B57" xr:uid="{00000000-0002-0000-0600-000001000000}">
      <formula1>IDCType</formula1>
    </dataValidation>
    <dataValidation type="list" errorStyle="warning" allowBlank="1" showInputMessage="1" showErrorMessage="1" errorTitle="Approved Rates" error="This is not one of the Approved Rates." sqref="C59:E59 C60:E61 C58:E58" xr:uid="{00000000-0002-0000-0600-000002000000}">
      <formula1>IDCList2</formula1>
    </dataValidation>
    <dataValidation type="list" errorStyle="warning" allowBlank="1" showInputMessage="1" showErrorMessage="1" errorTitle="Approved Rates" error="This is not one of the Approved Rates." sqref="C57:E57" xr:uid="{123DBD0A-7127-41B4-B74C-EC8C83D197F6}">
      <formula1>IDCList</formula1>
    </dataValidation>
  </dataValidations>
  <printOptions horizontalCentered="1"/>
  <pageMargins left="0.25" right="0.25" top="0.5" bottom="0.5" header="0.5" footer="0.5"/>
  <pageSetup scale="48" orientation="landscape" r:id="rId1"/>
  <headerFooter alignWithMargins="0">
    <oddFooter>&amp;RPrinted On: &amp;D &amp;T</oddFooter>
  </headerFooter>
  <extLst>
    <ext xmlns:x14="http://schemas.microsoft.com/office/spreadsheetml/2009/9/main" uri="{CCE6A557-97BC-4b89-ADB6-D9C93CAAB3DF}">
      <x14:dataValidations xmlns:xm="http://schemas.microsoft.com/office/excel/2006/main" count="5">
        <x14:dataValidation type="custom" errorStyle="information" allowBlank="1" showInputMessage="1" showErrorMessage="1" errorTitle="Grad Rate Error" error="Graduate Student Compensation potentially exceeds NIH cap of $47,484/student.  Please note: NIH Graduate Student Componsation Cap equals Salary + Fringe Benefits + any Tuition Needs requested." xr:uid="{00000000-0002-0000-0600-000004000000}">
          <x14:formula1>
            <xm:f>OR(AND('Personnel Yr 1'!$O$5="Federal - NIH",SUM(J$41,'Personnel Yr 2'!$O$43)/J$93&lt;=NIHGradLimit),'Personnel Yr 1'!$O$5&lt;&gt;"Federal - NIH")</xm:f>
          </x14:formula1>
          <xm:sqref>J41:K41</xm:sqref>
        </x14:dataValidation>
        <x14:dataValidation type="custom" errorStyle="information" allowBlank="1" showInputMessage="1" showErrorMessage="1" errorTitle="Grad Rate Error" error="Graduate Student Compensation potentially exceeds NIH cap of $47,484/student.  Please note: NIH Graduate Student Componsation Cap equals Salary + Fringe Benefits + any Tuition Needs requested." xr:uid="{00000000-0002-0000-0600-000005000000}">
          <x14:formula1>
            <xm:f>OR(AND('Personnel Yr 1'!$O$5="Federal - NIH",SUM(L$41,'Personnel Yr 3'!$O$43)/L$93&lt;=NIHGradLimit),'Personnel Yr 1'!$O$5&lt;&gt;"Federal - NIH")</xm:f>
          </x14:formula1>
          <xm:sqref>L41:M41</xm:sqref>
        </x14:dataValidation>
        <x14:dataValidation type="custom" errorStyle="information" allowBlank="1" showInputMessage="1" showErrorMessage="1" errorTitle="Grad Rate Error" error="Graduate Student Compensation potentially exceeds NIH cap of $47,484/student.  Please note: NIH Graduate Student Componsation Cap equals Salary + Fringe Benefits + any Tuition Needs requested." xr:uid="{00000000-0002-0000-0600-000006000000}">
          <x14:formula1>
            <xm:f>OR(AND('Personnel Yr 1'!$O$5="Federal - NIH",SUM(N$41,'Personnel Yr 4'!$O$41)/N$93&lt;=NIHGradLimit),'Personnel Yr 1'!$O$5&lt;&gt;"Federal - NIH")</xm:f>
          </x14:formula1>
          <xm:sqref>N41:O41</xm:sqref>
        </x14:dataValidation>
        <x14:dataValidation type="custom" errorStyle="information" allowBlank="1" showInputMessage="1" showErrorMessage="1" errorTitle="Grad Rate Error" error="Graduate Student Compensation potentially exceeds NIH cap of $47,484/student.  Please note: NIH Graduate Student Componsation Cap equals Salary + Fringe Benefits + any Tuition Needs requested." xr:uid="{00000000-0002-0000-0600-000007000000}">
          <x14:formula1>
            <xm:f>OR(AND('Personnel Yr 1'!$O$5="Federal - NIH",SUM(P$41,'Personnel Yr 5'!$O$41)/P$93&lt;=NIHGradLimit),'Personnel Yr 1'!$O$5&lt;&gt;"Federal - NIH")</xm:f>
          </x14:formula1>
          <xm:sqref>P41:Q41</xm:sqref>
        </x14:dataValidation>
        <x14:dataValidation type="custom" errorStyle="information" allowBlank="1" showInputMessage="1" showErrorMessage="1" errorTitle="Grad Rate Error" error="Graduate Student Compensation potentially exceeds NIH cap of $47,484/student.  Please note: NIH Graduate Student Componsation Cap equals Salary + Fringe Benefits + any Tuition Needs requested." xr:uid="{00000000-0002-0000-0600-000003000000}">
          <x14:formula1>
            <xm:f>OR(AND('Personnel Yr 1'!$O$5="Federal - NIH",SUM(H$41,'Personnel Yr 1'!$O$43)/H$93&lt;=NIHGradLimit),'Personnel Yr 1'!$O$5&lt;&gt;"Federal - NIH")</xm:f>
          </x14:formula1>
          <xm:sqref>H41:I41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37</vt:i4>
      </vt:variant>
    </vt:vector>
  </HeadingPairs>
  <TitlesOfParts>
    <vt:vector size="56" baseType="lpstr">
      <vt:lpstr>Change Log</vt:lpstr>
      <vt:lpstr>Instructions</vt:lpstr>
      <vt:lpstr>Instructions - Old</vt:lpstr>
      <vt:lpstr>Personnel Yr 1</vt:lpstr>
      <vt:lpstr>Personnel Yr 2</vt:lpstr>
      <vt:lpstr>Personnel Yr 3</vt:lpstr>
      <vt:lpstr>Personnel Yr 4</vt:lpstr>
      <vt:lpstr>Personnel Yr 5</vt:lpstr>
      <vt:lpstr>Non-personnel</vt:lpstr>
      <vt:lpstr>Summary</vt:lpstr>
      <vt:lpstr>File Copy</vt:lpstr>
      <vt:lpstr>File Copy - No Salary</vt:lpstr>
      <vt:lpstr>Drop Choices</vt:lpstr>
      <vt:lpstr>NIH Mod-Even Dist</vt:lpstr>
      <vt:lpstr>NIH Mod-Free</vt:lpstr>
      <vt:lpstr>OSA</vt:lpstr>
      <vt:lpstr>Justification</vt:lpstr>
      <vt:lpstr>424a</vt:lpstr>
      <vt:lpstr>ED524</vt:lpstr>
      <vt:lpstr>Ben</vt:lpstr>
      <vt:lpstr>BenB</vt:lpstr>
      <vt:lpstr>Confirm2</vt:lpstr>
      <vt:lpstr>Designation</vt:lpstr>
      <vt:lpstr>Duration</vt:lpstr>
      <vt:lpstr>Grad</vt:lpstr>
      <vt:lpstr>GradR</vt:lpstr>
      <vt:lpstr>IDCDesc</vt:lpstr>
      <vt:lpstr>IDCDesc2</vt:lpstr>
      <vt:lpstr>IDCList</vt:lpstr>
      <vt:lpstr>IDCList2</vt:lpstr>
      <vt:lpstr>IDCRate</vt:lpstr>
      <vt:lpstr>IDCRate2</vt:lpstr>
      <vt:lpstr>IDCType</vt:lpstr>
      <vt:lpstr>NIHGradLimit</vt:lpstr>
      <vt:lpstr>NIHSalaryCap</vt:lpstr>
      <vt:lpstr>OtherRoles</vt:lpstr>
      <vt:lpstr>Per</vt:lpstr>
      <vt:lpstr>Prefix</vt:lpstr>
      <vt:lpstr>'File Copy'!Print_Area</vt:lpstr>
      <vt:lpstr>'File Copy - No Salary'!Print_Area</vt:lpstr>
      <vt:lpstr>Instructions!Print_Area</vt:lpstr>
      <vt:lpstr>Justification!Print_Area</vt:lpstr>
      <vt:lpstr>'NIH Mod-Even Dist'!Print_Area</vt:lpstr>
      <vt:lpstr>'NIH Mod-Free'!Print_Area</vt:lpstr>
      <vt:lpstr>'Non-personnel'!Print_Area</vt:lpstr>
      <vt:lpstr>'Personnel Yr 1'!Print_Area</vt:lpstr>
      <vt:lpstr>'Personnel Yr 2'!Print_Area</vt:lpstr>
      <vt:lpstr>'Personnel Yr 3'!Print_Area</vt:lpstr>
      <vt:lpstr>'Personnel Yr 4'!Print_Area</vt:lpstr>
      <vt:lpstr>'Personnel Yr 5'!Print_Area</vt:lpstr>
      <vt:lpstr>Summary!Print_Area</vt:lpstr>
      <vt:lpstr>'File Copy'!Print_Titles</vt:lpstr>
      <vt:lpstr>'Non-personnel'!Print_Titles</vt:lpstr>
      <vt:lpstr>Roles</vt:lpstr>
      <vt:lpstr>TuitionDesc</vt:lpstr>
      <vt:lpstr>TuitionRate</vt:lpstr>
    </vt:vector>
  </TitlesOfParts>
  <Company>Syracuse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T Falchi</dc:creator>
  <cp:lastModifiedBy>Jeffrey T Falchi</cp:lastModifiedBy>
  <cp:lastPrinted>2014-07-22T21:00:41Z</cp:lastPrinted>
  <dcterms:created xsi:type="dcterms:W3CDTF">2007-05-17T13:06:29Z</dcterms:created>
  <dcterms:modified xsi:type="dcterms:W3CDTF">2025-06-24T17:58:06Z</dcterms:modified>
</cp:coreProperties>
</file>